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AquestLlibreDeTreball" defaultThemeVersion="202300"/>
  <mc:AlternateContent xmlns:mc="http://schemas.openxmlformats.org/markup-compatibility/2006">
    <mc:Choice Requires="x15">
      <x15ac:absPath xmlns:x15ac="http://schemas.microsoft.com/office/spreadsheetml/2010/11/ac" url="https://dibacat.sharepoint.com/sites/msteams_729e94/Documentos compartidos/General/EINES EXCEL/EFICIENCIA/"/>
    </mc:Choice>
  </mc:AlternateContent>
  <xr:revisionPtr revIDLastSave="1778" documentId="8_{70B89BC7-2473-4AC7-921C-97E90370CC34}" xr6:coauthVersionLast="47" xr6:coauthVersionMax="47" xr10:uidLastSave="{B237F959-5476-44DD-9098-CDF9B0A6902B}"/>
  <bookViews>
    <workbookView xWindow="28680" yWindow="-120" windowWidth="29040" windowHeight="15720" tabRatio="646" xr2:uid="{97CDDD26-F441-4994-98BB-AEEE77F93C43}"/>
  </bookViews>
  <sheets>
    <sheet name="portada" sheetId="18" r:id="rId1"/>
    <sheet name="Instruccions" sheetId="10" r:id="rId2"/>
    <sheet name="DADES_ACTUAL" sheetId="12" r:id="rId3"/>
    <sheet name="DADES_ALTER" sheetId="14" r:id="rId4"/>
    <sheet name="RESULTATS" sheetId="5" r:id="rId5"/>
    <sheet name="eina_rendiments" sheetId="16" r:id="rId6"/>
    <sheet name="eina_perfil_us" sheetId="20" r:id="rId7"/>
    <sheet name="eina_costos" sheetId="21" r:id="rId8"/>
    <sheet name="desplegables" sheetId="7" r:id="rId9"/>
    <sheet name="CALCULS_ACTUAL" sheetId="4" state="hidden" r:id="rId10"/>
    <sheet name="CALCUL_ALTER" sheetId="15" state="hidden" r:id="rId11"/>
    <sheet name="perdues_diposit" sheetId="3" state="hidden" r:id="rId12"/>
    <sheet name="perdues_xarxa" sheetId="1" state="hidden" r:id="rId13"/>
    <sheet name="partides aïllament" sheetId="8" state="hidden" r:id="rId14"/>
    <sheet name="millores" sheetId="19" state="hidden" r:id="rId15"/>
    <sheet name="municipis" sheetId="17" state="hidden" r:id="rId16"/>
  </sheets>
  <externalReferences>
    <externalReference r:id="rId17"/>
  </externalReferences>
  <definedNames>
    <definedName name="_xlnm._FilterDatabase" localSheetId="15" hidden="1">municipis!$A$1:$D$316</definedName>
    <definedName name="ambit" localSheetId="15">municipis!#REF!</definedName>
    <definedName name="ambit">#REF!</definedName>
    <definedName name="amit2" localSheetId="15">municipis!#REF!</definedName>
    <definedName name="amit2">#REF!</definedName>
    <definedName name="anys">#REF!</definedName>
    <definedName name="anys1">#REF!</definedName>
    <definedName name="anys21">#REF!</definedName>
    <definedName name="_xlnm.Print_Area" localSheetId="10">CALCUL_ALTER!$A$1:$N$103</definedName>
    <definedName name="_xlnm.Print_Area" localSheetId="9">CALCULS_ACTUAL!$A$1:$N$241</definedName>
    <definedName name="_xlnm.Print_Area" localSheetId="2">DADES_ACTUAL!$A$1:$L$107</definedName>
    <definedName name="_xlnm.Print_Area" localSheetId="3">DADES_ALTER!$A$1:$AG$72</definedName>
    <definedName name="_xlnm.Print_Area" localSheetId="5">eina_rendiments!$A$1:$L$40</definedName>
    <definedName name="_xlnm.Print_Area" localSheetId="11">perdues_diposit!#REF!</definedName>
    <definedName name="_xlnm.Print_Area" localSheetId="12">perdues_xarxa!#REF!</definedName>
    <definedName name="_xlnm.Print_Area" localSheetId="4">RESULTATS!$A$1:$S$93</definedName>
    <definedName name="BASE" localSheetId="15">#REF!</definedName>
    <definedName name="BASE">#REF!</definedName>
    <definedName name="base1" localSheetId="15">#REF!</definedName>
    <definedName name="base1">#REF!</definedName>
    <definedName name="biomassaF" localSheetId="15">#REF!</definedName>
    <definedName name="biomassaF">#REF!</definedName>
    <definedName name="cald">#REF!</definedName>
    <definedName name="caldera">#REF!</definedName>
    <definedName name="CO2_combus">CALCULS_ACTUAL!$D$13</definedName>
    <definedName name="CO2_elec">CALCULS_ACTUAL!$D$14</definedName>
    <definedName name="comb">#REF!</definedName>
    <definedName name="consums1">#REF!</definedName>
    <definedName name="cost_aillament">perdues_xarxa!$A$42:$J$51</definedName>
    <definedName name="dades" localSheetId="15">#REF!</definedName>
    <definedName name="dades">#REF!</definedName>
    <definedName name="DADES1">#REF!</definedName>
    <definedName name="elec_sola">#REF!</definedName>
    <definedName name="elec_total_m2">#REF!</definedName>
    <definedName name="elec_total_m2_GD">#REF!</definedName>
    <definedName name="elec3">#REF!</definedName>
    <definedName name="electric1">#REF!</definedName>
    <definedName name="electric2">#REF!</definedName>
    <definedName name="EM">#REF!</definedName>
    <definedName name="EQUIP">#REF!</definedName>
    <definedName name="font">#REF!</definedName>
    <definedName name="Fonts">#REF!</definedName>
    <definedName name="gasoilF" localSheetId="15">#REF!</definedName>
    <definedName name="gasoilF">#REF!</definedName>
    <definedName name="GD">#REF!</definedName>
    <definedName name="GD15_per_tots" localSheetId="15">#REF!</definedName>
    <definedName name="GD15_per_tots" localSheetId="0">[1]llistes!#REF!</definedName>
    <definedName name="GD15_per_tots">#REF!</definedName>
    <definedName name="GLPF" localSheetId="15">#REF!</definedName>
    <definedName name="GLPF">#REF!</definedName>
    <definedName name="graus">#REF!</definedName>
    <definedName name="graus15">#REF!</definedName>
    <definedName name="graus21">#REF!</definedName>
    <definedName name="mpi">#REF!</definedName>
    <definedName name="municipis">municipis!$A$2:$F$316</definedName>
    <definedName name="municipis_BCN">municipis!$A$2:$F$316</definedName>
    <definedName name="nom">#REF!</definedName>
    <definedName name="perdues_amb_aillament">perdues_xarxa!$A$28:$J$37</definedName>
    <definedName name="perdues_diposit">perdues_diposit!$A$11:$H$32</definedName>
    <definedName name="perdues_sense_aillar">perdues_xarxa!$A$8:$K$23</definedName>
    <definedName name="preu2">#REF!</definedName>
    <definedName name="sever_hores">#REF!</definedName>
    <definedName name="suau_hores">#REF!</definedName>
    <definedName name="tipo_equip">#REF!</definedName>
    <definedName name="_xlnm.Print_Titles" localSheetId="11">perdues_diposit!$1:$3</definedName>
    <definedName name="_xlnm.Print_Titles" localSheetId="12">perdues_xarxa!$1:$3</definedName>
    <definedName name="utBM" localSheetId="15">#REF!</definedName>
    <definedName name="utBM">#REF!</definedName>
    <definedName name="zc">#REF!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20" l="1"/>
  <c r="H30" i="20"/>
  <c r="H29" i="20"/>
  <c r="H21" i="20"/>
  <c r="H20" i="20"/>
  <c r="H19" i="20"/>
  <c r="D56" i="21"/>
  <c r="D55" i="21"/>
  <c r="D54" i="21"/>
  <c r="D53" i="21"/>
  <c r="D52" i="21"/>
  <c r="D51" i="21"/>
  <c r="D50" i="21"/>
  <c r="D49" i="21"/>
  <c r="C36" i="21"/>
  <c r="C35" i="21"/>
  <c r="D35" i="21" s="1"/>
  <c r="D37" i="21"/>
  <c r="D38" i="21"/>
  <c r="D36" i="21"/>
  <c r="C34" i="21"/>
  <c r="D34" i="21" s="1"/>
  <c r="C33" i="21"/>
  <c r="D33" i="21" s="1"/>
  <c r="C32" i="21"/>
  <c r="D32" i="21" s="1"/>
  <c r="C31" i="21"/>
  <c r="D31" i="21" s="1"/>
  <c r="G10" i="21" a="1"/>
  <c r="G10" i="21" s="1"/>
  <c r="G11" i="21" a="1"/>
  <c r="G11" i="21" s="1"/>
  <c r="G12" i="21" a="1"/>
  <c r="G12" i="21" s="1"/>
  <c r="G13" i="21" a="1"/>
  <c r="G13" i="21" s="1"/>
  <c r="G14" i="21" a="1"/>
  <c r="G14" i="21" s="1"/>
  <c r="G15" i="21" a="1"/>
  <c r="G15" i="21" s="1"/>
  <c r="G16" i="21" a="1"/>
  <c r="G16" i="21" s="1"/>
  <c r="G17" i="21" a="1"/>
  <c r="G17" i="21" s="1"/>
  <c r="G18" i="21" a="1"/>
  <c r="G18" i="21" s="1"/>
  <c r="G9" i="21" a="1"/>
  <c r="G9" i="21" s="1"/>
  <c r="E19" i="21"/>
  <c r="C19" i="21"/>
  <c r="G19" i="21"/>
  <c r="M80" i="15"/>
  <c r="Q80" i="15" s="1" a="1"/>
  <c r="Q80" i="15" s="1"/>
  <c r="M65" i="15"/>
  <c r="N65" i="15" s="1" a="1"/>
  <c r="N65" i="15" s="1"/>
  <c r="U196" i="4" a="1"/>
  <c r="U196" i="4" s="1"/>
  <c r="U205" i="4" a="1"/>
  <c r="U205" i="4" s="1"/>
  <c r="U204" i="4" a="1"/>
  <c r="U204" i="4" s="1"/>
  <c r="U203" i="4" a="1"/>
  <c r="U203" i="4" s="1"/>
  <c r="U202" i="4" a="1"/>
  <c r="U202" i="4" s="1"/>
  <c r="U201" i="4" a="1"/>
  <c r="U201" i="4" s="1"/>
  <c r="U200" i="4" a="1"/>
  <c r="U200" i="4" s="1"/>
  <c r="U199" i="4" a="1"/>
  <c r="U199" i="4" s="1"/>
  <c r="U198" i="4" a="1"/>
  <c r="U198" i="4" s="1"/>
  <c r="U197" i="4" a="1"/>
  <c r="U197" i="4" s="1"/>
  <c r="J197" i="4" a="1"/>
  <c r="J197" i="4"/>
  <c r="J198" i="4" a="1"/>
  <c r="J198" i="4" s="1"/>
  <c r="J199" i="4" a="1"/>
  <c r="J199" i="4" s="1"/>
  <c r="J200" i="4" a="1"/>
  <c r="J200" i="4" s="1"/>
  <c r="J201" i="4" a="1"/>
  <c r="J201" i="4"/>
  <c r="J202" i="4" a="1"/>
  <c r="J202" i="4" s="1"/>
  <c r="J203" i="4" a="1"/>
  <c r="J203" i="4" s="1"/>
  <c r="J204" i="4" a="1"/>
  <c r="J204" i="4" s="1"/>
  <c r="J205" i="4" a="1"/>
  <c r="J205" i="4"/>
  <c r="J196" i="4" a="1"/>
  <c r="J196" i="4"/>
  <c r="N65" i="4" a="1"/>
  <c r="N65" i="4" s="1"/>
  <c r="M65" i="4"/>
  <c r="M63" i="4"/>
  <c r="N63" i="4" s="1" a="1"/>
  <c r="N63" i="4" s="1"/>
  <c r="J32" i="1"/>
  <c r="J33" i="1"/>
  <c r="J34" i="1"/>
  <c r="J35" i="1"/>
  <c r="J36" i="1"/>
  <c r="J37" i="1"/>
  <c r="J31" i="1"/>
  <c r="H37" i="1"/>
  <c r="H36" i="1"/>
  <c r="H35" i="1"/>
  <c r="H34" i="1"/>
  <c r="H33" i="1"/>
  <c r="H32" i="1"/>
  <c r="H31" i="1"/>
  <c r="H48" i="1"/>
  <c r="J43" i="1"/>
  <c r="J48" i="1"/>
  <c r="H43" i="1"/>
  <c r="I49" i="1"/>
  <c r="J49" i="1" s="1"/>
  <c r="AF52" i="14"/>
  <c r="AF51" i="14"/>
  <c r="AF50" i="14"/>
  <c r="AF49" i="14"/>
  <c r="AF48" i="14"/>
  <c r="AF47" i="14"/>
  <c r="AF46" i="14"/>
  <c r="AF45" i="14"/>
  <c r="AF44" i="14"/>
  <c r="AF43" i="14"/>
  <c r="U52" i="14"/>
  <c r="U51" i="14"/>
  <c r="U50" i="14"/>
  <c r="U49" i="14"/>
  <c r="U48" i="14"/>
  <c r="U47" i="14"/>
  <c r="U46" i="14"/>
  <c r="U45" i="14"/>
  <c r="U44" i="14"/>
  <c r="U43" i="14"/>
  <c r="J52" i="14"/>
  <c r="J51" i="14"/>
  <c r="J50" i="14"/>
  <c r="J49" i="14"/>
  <c r="J48" i="14"/>
  <c r="J47" i="14"/>
  <c r="J46" i="14"/>
  <c r="J45" i="14"/>
  <c r="J44" i="14"/>
  <c r="J43" i="14"/>
  <c r="J50" i="12"/>
  <c r="J51" i="12"/>
  <c r="J52" i="12"/>
  <c r="J53" i="12"/>
  <c r="J54" i="12"/>
  <c r="J55" i="12"/>
  <c r="J56" i="12"/>
  <c r="J57" i="12"/>
  <c r="J58" i="12"/>
  <c r="J49" i="12"/>
  <c r="O20" i="20"/>
  <c r="O21" i="20"/>
  <c r="O22" i="20"/>
  <c r="O23" i="20"/>
  <c r="O24" i="20"/>
  <c r="O25" i="20"/>
  <c r="O26" i="20"/>
  <c r="O27" i="20"/>
  <c r="O28" i="20"/>
  <c r="O29" i="20"/>
  <c r="O30" i="20"/>
  <c r="O19" i="20"/>
  <c r="R31" i="20"/>
  <c r="P16" i="20"/>
  <c r="D57" i="21" l="1"/>
  <c r="D39" i="21"/>
  <c r="D40" i="21"/>
  <c r="G20" i="21"/>
  <c r="N80" i="15" a="1"/>
  <c r="N80" i="15" s="1"/>
  <c r="Q65" i="15" a="1"/>
  <c r="Q65" i="15" s="1"/>
  <c r="H49" i="1"/>
  <c r="E20" i="20"/>
  <c r="E21" i="20"/>
  <c r="E22" i="20"/>
  <c r="E23" i="20"/>
  <c r="E24" i="20"/>
  <c r="E25" i="20"/>
  <c r="E26" i="20"/>
  <c r="E27" i="20"/>
  <c r="E28" i="20"/>
  <c r="E29" i="20"/>
  <c r="E30" i="20"/>
  <c r="E19" i="20"/>
  <c r="Q31" i="20"/>
  <c r="P31" i="20"/>
  <c r="N31" i="20"/>
  <c r="H31" i="20"/>
  <c r="C31" i="20"/>
  <c r="B31" i="20"/>
  <c r="D30" i="20"/>
  <c r="D29" i="20"/>
  <c r="D28" i="20"/>
  <c r="D27" i="20"/>
  <c r="D26" i="20"/>
  <c r="D25" i="20"/>
  <c r="D24" i="20"/>
  <c r="D23" i="20"/>
  <c r="D22" i="20"/>
  <c r="D21" i="20"/>
  <c r="D20" i="20"/>
  <c r="D19" i="20"/>
  <c r="D41" i="21" l="1"/>
  <c r="D58" i="21"/>
  <c r="D60" i="21"/>
  <c r="D59" i="21"/>
  <c r="D61" i="21"/>
  <c r="D42" i="21"/>
  <c r="D43" i="21" s="1"/>
  <c r="G23" i="21"/>
  <c r="G24" i="21"/>
  <c r="G22" i="21"/>
  <c r="I25" i="20"/>
  <c r="F22" i="20"/>
  <c r="G22" i="20" s="1"/>
  <c r="I22" i="20"/>
  <c r="F26" i="20"/>
  <c r="G26" i="20" s="1"/>
  <c r="I26" i="20"/>
  <c r="F30" i="20"/>
  <c r="G30" i="20" s="1"/>
  <c r="I30" i="20"/>
  <c r="F21" i="20"/>
  <c r="G21" i="20" s="1"/>
  <c r="I21" i="20"/>
  <c r="F29" i="20"/>
  <c r="G29" i="20" s="1"/>
  <c r="I29" i="20"/>
  <c r="F20" i="20"/>
  <c r="G20" i="20" s="1"/>
  <c r="I20" i="20"/>
  <c r="F24" i="20"/>
  <c r="G24" i="20" s="1"/>
  <c r="I24" i="20"/>
  <c r="F28" i="20"/>
  <c r="G28" i="20" s="1"/>
  <c r="I28" i="20"/>
  <c r="F19" i="20"/>
  <c r="G19" i="20" s="1"/>
  <c r="I19" i="20"/>
  <c r="F23" i="20"/>
  <c r="G23" i="20" s="1"/>
  <c r="I23" i="20"/>
  <c r="I27" i="20"/>
  <c r="F25" i="20"/>
  <c r="G25" i="20" s="1"/>
  <c r="F27" i="20"/>
  <c r="D31" i="20"/>
  <c r="O31" i="20"/>
  <c r="G25" i="21" l="1"/>
  <c r="F31" i="20"/>
  <c r="G27" i="20"/>
  <c r="G31" i="20" s="1"/>
  <c r="E10" i="7" l="1"/>
  <c r="E9" i="7"/>
  <c r="B9" i="7"/>
  <c r="C20" i="12"/>
  <c r="H47" i="4"/>
  <c r="Z16" i="14" l="1"/>
  <c r="Z15" i="14"/>
  <c r="O16" i="14"/>
  <c r="O15" i="14"/>
  <c r="D16" i="14"/>
  <c r="D15" i="14"/>
  <c r="D134" i="4"/>
  <c r="F24" i="16" l="1"/>
  <c r="F26" i="16" s="1"/>
  <c r="F27" i="16" s="1"/>
  <c r="K33" i="16"/>
  <c r="F8" i="16" l="1"/>
  <c r="F9" i="16" s="1"/>
  <c r="F10" i="16" s="1"/>
  <c r="D2" i="5"/>
  <c r="F13" i="16" l="1"/>
  <c r="F14" i="16" s="1"/>
  <c r="X31" i="14" l="1"/>
  <c r="M31" i="14"/>
  <c r="X19" i="14"/>
  <c r="M19" i="14"/>
  <c r="X14" i="14"/>
  <c r="M14" i="14"/>
  <c r="D249" i="4"/>
  <c r="J35" i="5" s="1"/>
  <c r="D107" i="4"/>
  <c r="J21" i="4" s="1"/>
  <c r="E66" i="5" s="1"/>
  <c r="D108" i="4"/>
  <c r="D106" i="4"/>
  <c r="D5" i="4"/>
  <c r="AP106" i="15"/>
  <c r="AP107" i="15"/>
  <c r="AP105" i="15"/>
  <c r="W106" i="15"/>
  <c r="W107" i="15"/>
  <c r="W105" i="15"/>
  <c r="D106" i="15"/>
  <c r="D107" i="15"/>
  <c r="D105" i="15"/>
  <c r="E31" i="12"/>
  <c r="E53" i="5"/>
  <c r="E25" i="14"/>
  <c r="P25" i="14"/>
  <c r="AA25" i="14"/>
  <c r="V33" i="15"/>
  <c r="W24" i="15"/>
  <c r="AD53" i="14"/>
  <c r="AB53" i="14"/>
  <c r="AA53" i="14"/>
  <c r="Z53" i="14"/>
  <c r="AF53" i="14" s="1"/>
  <c r="AY86" i="15"/>
  <c r="AW86" i="15"/>
  <c r="AP86" i="15"/>
  <c r="AY85" i="15"/>
  <c r="AW85" i="15"/>
  <c r="AP85" i="15"/>
  <c r="AY84" i="15"/>
  <c r="AW84" i="15"/>
  <c r="AP84" i="15"/>
  <c r="AY83" i="15"/>
  <c r="AW83" i="15"/>
  <c r="AP83" i="15"/>
  <c r="AY82" i="15"/>
  <c r="AW82" i="15"/>
  <c r="AP82" i="15"/>
  <c r="AY81" i="15"/>
  <c r="AW81" i="15"/>
  <c r="AP81" i="15"/>
  <c r="AY80" i="15"/>
  <c r="AW80" i="15"/>
  <c r="AP80" i="15"/>
  <c r="AY79" i="15"/>
  <c r="AW79" i="15"/>
  <c r="AP79" i="15"/>
  <c r="AY78" i="15"/>
  <c r="AW78" i="15"/>
  <c r="AP78" i="15"/>
  <c r="AY77" i="15"/>
  <c r="AW77" i="15"/>
  <c r="AP77" i="15"/>
  <c r="AY71" i="15"/>
  <c r="AW71" i="15"/>
  <c r="AP71" i="15"/>
  <c r="AY70" i="15"/>
  <c r="AW70" i="15"/>
  <c r="AP70" i="15"/>
  <c r="AY69" i="15"/>
  <c r="AW69" i="15"/>
  <c r="AP69" i="15"/>
  <c r="AY68" i="15"/>
  <c r="AW68" i="15"/>
  <c r="AP68" i="15"/>
  <c r="AY67" i="15"/>
  <c r="AW67" i="15"/>
  <c r="AP67" i="15"/>
  <c r="AY66" i="15"/>
  <c r="AW66" i="15"/>
  <c r="AP66" i="15"/>
  <c r="AY65" i="15"/>
  <c r="AW65" i="15"/>
  <c r="AP65" i="15"/>
  <c r="AY64" i="15"/>
  <c r="AW64" i="15"/>
  <c r="AP64" i="15"/>
  <c r="AY63" i="15"/>
  <c r="AW63" i="15"/>
  <c r="AP63" i="15"/>
  <c r="AY62" i="15"/>
  <c r="AW62" i="15"/>
  <c r="AP62" i="15"/>
  <c r="AP53" i="15"/>
  <c r="AX52" i="15"/>
  <c r="AP52" i="15"/>
  <c r="AT51" i="15"/>
  <c r="AX50" i="15"/>
  <c r="AT50" i="15"/>
  <c r="AP50" i="15"/>
  <c r="AP43" i="15"/>
  <c r="AP40" i="15"/>
  <c r="AP39" i="15"/>
  <c r="AR35" i="15"/>
  <c r="AP35" i="15"/>
  <c r="AO35" i="15"/>
  <c r="AR34" i="15"/>
  <c r="AP34" i="15"/>
  <c r="AO34" i="15"/>
  <c r="AR33" i="15"/>
  <c r="AP33" i="15"/>
  <c r="AO33" i="15"/>
  <c r="AP24" i="15"/>
  <c r="AP18" i="15"/>
  <c r="AP11" i="15"/>
  <c r="AP9" i="15"/>
  <c r="AT54" i="15" s="1"/>
  <c r="AP8" i="15"/>
  <c r="AP10" i="15" s="1"/>
  <c r="AP7" i="15"/>
  <c r="AT53" i="15" s="1"/>
  <c r="AP6" i="15"/>
  <c r="AP5" i="15"/>
  <c r="AP4" i="15"/>
  <c r="AF78" i="15"/>
  <c r="AF79" i="15"/>
  <c r="AF80" i="15"/>
  <c r="AF81" i="15"/>
  <c r="AF82" i="15"/>
  <c r="AF83" i="15"/>
  <c r="AF84" i="15"/>
  <c r="AF85" i="15"/>
  <c r="AF86" i="15"/>
  <c r="AF77" i="15"/>
  <c r="AD78" i="15"/>
  <c r="AD79" i="15"/>
  <c r="AD80" i="15"/>
  <c r="AD81" i="15"/>
  <c r="AD82" i="15"/>
  <c r="AD83" i="15"/>
  <c r="AD84" i="15"/>
  <c r="AD85" i="15"/>
  <c r="AD86" i="15"/>
  <c r="AD77" i="15"/>
  <c r="AD63" i="15"/>
  <c r="AD64" i="15"/>
  <c r="AD65" i="15"/>
  <c r="AD66" i="15"/>
  <c r="AD67" i="15"/>
  <c r="AD68" i="15"/>
  <c r="AD69" i="15"/>
  <c r="AD70" i="15"/>
  <c r="AD71" i="15"/>
  <c r="AD62" i="15"/>
  <c r="AF63" i="15"/>
  <c r="AF64" i="15"/>
  <c r="AF65" i="15"/>
  <c r="AF66" i="15"/>
  <c r="AF67" i="15"/>
  <c r="AF68" i="15"/>
  <c r="AF69" i="15"/>
  <c r="AF70" i="15"/>
  <c r="AF71" i="15"/>
  <c r="AF62" i="15"/>
  <c r="W78" i="15"/>
  <c r="W79" i="15"/>
  <c r="W80" i="15"/>
  <c r="W81" i="15"/>
  <c r="W82" i="15"/>
  <c r="W83" i="15"/>
  <c r="W84" i="15"/>
  <c r="W85" i="15"/>
  <c r="W86" i="15"/>
  <c r="W77" i="15"/>
  <c r="W63" i="15"/>
  <c r="W64" i="15"/>
  <c r="W65" i="15"/>
  <c r="W66" i="15"/>
  <c r="W67" i="15"/>
  <c r="W68" i="15"/>
  <c r="W69" i="15"/>
  <c r="W70" i="15"/>
  <c r="W71" i="15"/>
  <c r="W62" i="15"/>
  <c r="AE52" i="15"/>
  <c r="AE50" i="15"/>
  <c r="AA51" i="15"/>
  <c r="H50" i="15"/>
  <c r="AA50" i="15"/>
  <c r="W53" i="15"/>
  <c r="W52" i="15"/>
  <c r="W50" i="15"/>
  <c r="W40" i="15"/>
  <c r="W39" i="15"/>
  <c r="Y34" i="15"/>
  <c r="Y35" i="15"/>
  <c r="Y33" i="15"/>
  <c r="W34" i="15"/>
  <c r="W35" i="15"/>
  <c r="W33" i="15"/>
  <c r="V34" i="15"/>
  <c r="V35" i="15"/>
  <c r="W18" i="15"/>
  <c r="W11" i="15"/>
  <c r="W9" i="15"/>
  <c r="AA54" i="15" s="1"/>
  <c r="W8" i="15"/>
  <c r="W10" i="15" s="1"/>
  <c r="W7" i="15"/>
  <c r="AA53" i="15" s="1"/>
  <c r="W6" i="15"/>
  <c r="W5" i="15"/>
  <c r="W4" i="15"/>
  <c r="S53" i="14"/>
  <c r="Q53" i="14"/>
  <c r="P53" i="14"/>
  <c r="O53" i="14"/>
  <c r="W43" i="15"/>
  <c r="J1" i="14"/>
  <c r="J1" i="15" s="1"/>
  <c r="C1" i="14"/>
  <c r="C1" i="15" s="1"/>
  <c r="D4" i="15"/>
  <c r="K77" i="4"/>
  <c r="K76" i="4"/>
  <c r="K75" i="4"/>
  <c r="K74" i="4"/>
  <c r="K73" i="4"/>
  <c r="K72" i="4"/>
  <c r="K71" i="4"/>
  <c r="K70" i="4"/>
  <c r="K69" i="4"/>
  <c r="K68" i="4"/>
  <c r="M62" i="15"/>
  <c r="D24" i="15"/>
  <c r="D18" i="15"/>
  <c r="D12" i="15"/>
  <c r="AP12" i="15" s="1"/>
  <c r="M86" i="15"/>
  <c r="K86" i="15"/>
  <c r="D86" i="15"/>
  <c r="M85" i="15"/>
  <c r="K85" i="15"/>
  <c r="D85" i="15"/>
  <c r="M84" i="15"/>
  <c r="K84" i="15"/>
  <c r="D84" i="15"/>
  <c r="M83" i="15"/>
  <c r="K83" i="15"/>
  <c r="D83" i="15"/>
  <c r="M82" i="15"/>
  <c r="K82" i="15"/>
  <c r="D82" i="15"/>
  <c r="M81" i="15"/>
  <c r="K81" i="15"/>
  <c r="D81" i="15"/>
  <c r="K80" i="15"/>
  <c r="R80" i="15" s="1"/>
  <c r="D80" i="15"/>
  <c r="M79" i="15"/>
  <c r="K79" i="15"/>
  <c r="D79" i="15"/>
  <c r="M78" i="15"/>
  <c r="K78" i="15"/>
  <c r="D78" i="15"/>
  <c r="M77" i="15"/>
  <c r="K77" i="15"/>
  <c r="D77" i="15"/>
  <c r="M71" i="15"/>
  <c r="K71" i="15"/>
  <c r="D71" i="15"/>
  <c r="M70" i="15"/>
  <c r="K70" i="15"/>
  <c r="D70" i="15"/>
  <c r="M69" i="15"/>
  <c r="K69" i="15"/>
  <c r="D69" i="15"/>
  <c r="M68" i="15"/>
  <c r="K68" i="15"/>
  <c r="D68" i="15"/>
  <c r="M67" i="15"/>
  <c r="K67" i="15"/>
  <c r="D67" i="15"/>
  <c r="M66" i="15"/>
  <c r="K66" i="15"/>
  <c r="D66" i="15"/>
  <c r="K65" i="15"/>
  <c r="R65" i="15" s="1"/>
  <c r="D65" i="15"/>
  <c r="M64" i="15"/>
  <c r="K64" i="15"/>
  <c r="D64" i="15"/>
  <c r="M63" i="15"/>
  <c r="K63" i="15"/>
  <c r="D63" i="15"/>
  <c r="K62" i="15"/>
  <c r="D62" i="15"/>
  <c r="D53" i="15"/>
  <c r="L52" i="15"/>
  <c r="D52" i="15"/>
  <c r="H51" i="15"/>
  <c r="L50" i="15"/>
  <c r="D50" i="15"/>
  <c r="D43" i="15"/>
  <c r="D40" i="15"/>
  <c r="D39" i="15"/>
  <c r="F35" i="15"/>
  <c r="D35" i="15"/>
  <c r="C35" i="15"/>
  <c r="F34" i="15"/>
  <c r="D34" i="15"/>
  <c r="C34" i="15"/>
  <c r="F33" i="15"/>
  <c r="D33" i="15"/>
  <c r="C33" i="15"/>
  <c r="D13" i="15"/>
  <c r="AP13" i="15" s="1"/>
  <c r="D9" i="15"/>
  <c r="H54" i="15" s="1"/>
  <c r="D8" i="15"/>
  <c r="D10" i="15" s="1"/>
  <c r="D7" i="15"/>
  <c r="H53" i="15" s="1"/>
  <c r="D11" i="15"/>
  <c r="D6" i="15"/>
  <c r="D5" i="15"/>
  <c r="H53" i="14"/>
  <c r="F53" i="14"/>
  <c r="E53" i="14"/>
  <c r="D53" i="14"/>
  <c r="D8" i="4"/>
  <c r="AZ65" i="15" l="1" a="1"/>
  <c r="AZ65" i="15" s="1"/>
  <c r="BC65" i="15" a="1"/>
  <c r="BC65" i="15" s="1"/>
  <c r="BD65" i="15" s="1"/>
  <c r="AZ78" i="15" a="1"/>
  <c r="AZ78" i="15" s="1"/>
  <c r="BC78" i="15" a="1"/>
  <c r="BC78" i="15" s="1"/>
  <c r="BD78" i="15" s="1"/>
  <c r="AZ81" i="15" a="1"/>
  <c r="AZ81" i="15" s="1"/>
  <c r="BC81" i="15" a="1"/>
  <c r="BC81" i="15" s="1"/>
  <c r="BD81" i="15" s="1"/>
  <c r="AZ66" i="15" a="1"/>
  <c r="AZ66" i="15" s="1"/>
  <c r="BC66" i="15" a="1"/>
  <c r="BC66" i="15" s="1"/>
  <c r="BD66" i="15" s="1"/>
  <c r="AZ79" i="15" a="1"/>
  <c r="AZ79" i="15" s="1"/>
  <c r="BC79" i="15" a="1"/>
  <c r="BC79" i="15" s="1"/>
  <c r="BD79" i="15" s="1"/>
  <c r="AZ69" i="15" a="1"/>
  <c r="AZ69" i="15" s="1"/>
  <c r="BC69" i="15" a="1"/>
  <c r="BC69" i="15" s="1"/>
  <c r="BD69" i="15" s="1"/>
  <c r="AZ82" i="15" a="1"/>
  <c r="AZ82" i="15" s="1"/>
  <c r="BC82" i="15" a="1"/>
  <c r="BC82" i="15" s="1"/>
  <c r="BD82" i="15" s="1"/>
  <c r="AZ63" i="15" a="1"/>
  <c r="AZ63" i="15" s="1"/>
  <c r="BC63" i="15" a="1"/>
  <c r="BC63" i="15" s="1"/>
  <c r="BD63" i="15" s="1"/>
  <c r="AZ64" i="15" a="1"/>
  <c r="AZ64" i="15" s="1"/>
  <c r="BC64" i="15" a="1"/>
  <c r="BC64" i="15" s="1"/>
  <c r="BD64" i="15" s="1"/>
  <c r="AZ77" i="15" a="1"/>
  <c r="AZ77" i="15" s="1"/>
  <c r="BC77" i="15" a="1"/>
  <c r="BC77" i="15" s="1"/>
  <c r="BD77" i="15" s="1"/>
  <c r="AZ85" i="15" a="1"/>
  <c r="AZ85" i="15" s="1"/>
  <c r="BC85" i="15" a="1"/>
  <c r="BC85" i="15" s="1"/>
  <c r="BD85" i="15" s="1"/>
  <c r="AZ68" i="15" a="1"/>
  <c r="AZ68" i="15" s="1"/>
  <c r="BC68" i="15" a="1"/>
  <c r="BC68" i="15" s="1"/>
  <c r="BD68" i="15" s="1"/>
  <c r="AZ71" i="15" a="1"/>
  <c r="AZ71" i="15" s="1"/>
  <c r="BC71" i="15" a="1"/>
  <c r="BC71" i="15" s="1"/>
  <c r="BD71" i="15" s="1"/>
  <c r="AZ84" i="15" a="1"/>
  <c r="AZ84" i="15" s="1"/>
  <c r="BC84" i="15" a="1"/>
  <c r="BC84" i="15" s="1"/>
  <c r="BD84" i="15" s="1"/>
  <c r="AZ67" i="15" a="1"/>
  <c r="AZ67" i="15" s="1"/>
  <c r="BC67" i="15" a="1"/>
  <c r="BC67" i="15" s="1"/>
  <c r="BD67" i="15" s="1"/>
  <c r="AZ80" i="15" a="1"/>
  <c r="AZ80" i="15" s="1"/>
  <c r="BC80" i="15" a="1"/>
  <c r="BC80" i="15" s="1"/>
  <c r="BD80" i="15" s="1"/>
  <c r="AZ86" i="15" a="1"/>
  <c r="AZ86" i="15" s="1"/>
  <c r="BC86" i="15" a="1"/>
  <c r="BC86" i="15" s="1"/>
  <c r="BD86" i="15" s="1"/>
  <c r="AZ62" i="15" a="1"/>
  <c r="AZ62" i="15" s="1"/>
  <c r="BC62" i="15" a="1"/>
  <c r="BC62" i="15" s="1"/>
  <c r="BD62" i="15" s="1"/>
  <c r="AZ70" i="15" a="1"/>
  <c r="AZ70" i="15" s="1"/>
  <c r="BC70" i="15" a="1"/>
  <c r="BC70" i="15" s="1"/>
  <c r="BD70" i="15" s="1"/>
  <c r="AZ83" i="15" a="1"/>
  <c r="AZ83" i="15" s="1"/>
  <c r="BC83" i="15" a="1"/>
  <c r="BC83" i="15" s="1"/>
  <c r="BD83" i="15" s="1"/>
  <c r="AG86" i="15" a="1"/>
  <c r="AG86" i="15" s="1"/>
  <c r="AJ86" i="15" a="1"/>
  <c r="AJ86" i="15" s="1"/>
  <c r="AK86" i="15" s="1"/>
  <c r="AG62" i="15" a="1"/>
  <c r="AG62" i="15" s="1"/>
  <c r="AJ62" i="15" a="1"/>
  <c r="AJ62" i="15" s="1"/>
  <c r="AK62" i="15" s="1"/>
  <c r="AG64" i="15" a="1"/>
  <c r="AG64" i="15" s="1"/>
  <c r="AJ64" i="15" a="1"/>
  <c r="AJ64" i="15" s="1"/>
  <c r="AK64" i="15" s="1"/>
  <c r="AG85" i="15" a="1"/>
  <c r="AG85" i="15" s="1"/>
  <c r="AJ85" i="15" a="1"/>
  <c r="AJ85" i="15" s="1"/>
  <c r="AK85" i="15" s="1"/>
  <c r="AG82" i="15" a="1"/>
  <c r="AG82" i="15" s="1"/>
  <c r="AJ82" i="15" a="1"/>
  <c r="AJ82" i="15" s="1"/>
  <c r="AK82" i="15" s="1"/>
  <c r="AG65" i="15" a="1"/>
  <c r="AG65" i="15" s="1"/>
  <c r="AJ65" i="15" a="1"/>
  <c r="AJ65" i="15" s="1"/>
  <c r="AK65" i="15" s="1"/>
  <c r="AG78" i="15" a="1"/>
  <c r="AG78" i="15" s="1"/>
  <c r="AJ78" i="15" a="1"/>
  <c r="AJ78" i="15" s="1"/>
  <c r="AK78" i="15" s="1"/>
  <c r="AG70" i="15" a="1"/>
  <c r="AG70" i="15" s="1"/>
  <c r="AJ70" i="15" a="1"/>
  <c r="AJ70" i="15" s="1"/>
  <c r="AK70" i="15" s="1"/>
  <c r="AG81" i="15" a="1"/>
  <c r="AG81" i="15" s="1"/>
  <c r="AJ81" i="15" a="1"/>
  <c r="AJ81" i="15" s="1"/>
  <c r="AK81" i="15" s="1"/>
  <c r="AG80" i="15" a="1"/>
  <c r="AG80" i="15" s="1"/>
  <c r="AJ80" i="15" a="1"/>
  <c r="AJ80" i="15" s="1"/>
  <c r="AK80" i="15" s="1"/>
  <c r="AG71" i="15" a="1"/>
  <c r="AG71" i="15" s="1"/>
  <c r="AJ71" i="15" a="1"/>
  <c r="AJ71" i="15" s="1"/>
  <c r="AK71" i="15" s="1"/>
  <c r="AG63" i="15" a="1"/>
  <c r="AG63" i="15" s="1"/>
  <c r="AJ63" i="15" a="1"/>
  <c r="AJ63" i="15" s="1"/>
  <c r="AK63" i="15" s="1"/>
  <c r="AG84" i="15" a="1"/>
  <c r="AG84" i="15" s="1"/>
  <c r="AJ84" i="15" a="1"/>
  <c r="AJ84" i="15" s="1"/>
  <c r="AK84" i="15" s="1"/>
  <c r="AG69" i="15" a="1"/>
  <c r="AG69" i="15" s="1"/>
  <c r="AJ69" i="15" a="1"/>
  <c r="AJ69" i="15" s="1"/>
  <c r="AK69" i="15" s="1"/>
  <c r="AG68" i="15" a="1"/>
  <c r="AG68" i="15" s="1"/>
  <c r="AJ68" i="15" a="1"/>
  <c r="AJ68" i="15" s="1"/>
  <c r="AK68" i="15" s="1"/>
  <c r="AG66" i="15" a="1"/>
  <c r="AG66" i="15" s="1"/>
  <c r="AJ66" i="15" a="1"/>
  <c r="AJ66" i="15" s="1"/>
  <c r="AK66" i="15" s="1"/>
  <c r="AG77" i="15" a="1"/>
  <c r="AG77" i="15" s="1"/>
  <c r="AJ77" i="15" a="1"/>
  <c r="AJ77" i="15" s="1"/>
  <c r="AK77" i="15" s="1"/>
  <c r="AG79" i="15" a="1"/>
  <c r="AG79" i="15" s="1"/>
  <c r="AJ79" i="15" a="1"/>
  <c r="AJ79" i="15" s="1"/>
  <c r="AK79" i="15" s="1"/>
  <c r="AG83" i="15" a="1"/>
  <c r="AG83" i="15" s="1"/>
  <c r="AJ83" i="15" a="1"/>
  <c r="AJ83" i="15" s="1"/>
  <c r="AK83" i="15"/>
  <c r="AG67" i="15" a="1"/>
  <c r="AG67" i="15" s="1"/>
  <c r="AJ67" i="15" a="1"/>
  <c r="AJ67" i="15" s="1"/>
  <c r="AK67" i="15" s="1"/>
  <c r="N69" i="15" a="1"/>
  <c r="N69" i="15" s="1"/>
  <c r="Q69" i="15" a="1"/>
  <c r="Q69" i="15" s="1"/>
  <c r="R69" i="15" s="1"/>
  <c r="N64" i="15" a="1"/>
  <c r="N64" i="15" s="1"/>
  <c r="Q64" i="15" a="1"/>
  <c r="Q64" i="15" s="1"/>
  <c r="R64" i="15" s="1"/>
  <c r="N63" i="15" a="1"/>
  <c r="N63" i="15" s="1"/>
  <c r="Q63" i="15" a="1"/>
  <c r="Q63" i="15" s="1"/>
  <c r="R63" i="15" s="1"/>
  <c r="N66" i="15" a="1"/>
  <c r="N66" i="15" s="1"/>
  <c r="Q66" i="15" a="1"/>
  <c r="Q66" i="15" s="1"/>
  <c r="R66" i="15" s="1"/>
  <c r="N82" i="15" a="1"/>
  <c r="N82" i="15" s="1"/>
  <c r="Q82" i="15" a="1"/>
  <c r="Q82" i="15" s="1"/>
  <c r="R82" i="15" s="1"/>
  <c r="N62" i="15" a="1"/>
  <c r="N62" i="15" s="1"/>
  <c r="Q62" i="15" a="1"/>
  <c r="Q62" i="15" s="1"/>
  <c r="R62" i="15" s="1"/>
  <c r="N85" i="15" a="1"/>
  <c r="N85" i="15" s="1"/>
  <c r="Q85" i="15" a="1"/>
  <c r="Q85" i="15" s="1"/>
  <c r="R85" i="15" s="1"/>
  <c r="N77" i="15" a="1"/>
  <c r="N77" i="15" s="1"/>
  <c r="Q77" i="15" a="1"/>
  <c r="Q77" i="15" s="1"/>
  <c r="R77" i="15" s="1"/>
  <c r="N67" i="15" a="1"/>
  <c r="N67" i="15" s="1"/>
  <c r="Q67" i="15" a="1"/>
  <c r="Q67" i="15" s="1"/>
  <c r="R67" i="15" s="1"/>
  <c r="N78" i="15" a="1"/>
  <c r="N78" i="15" s="1"/>
  <c r="Q78" i="15" a="1"/>
  <c r="Q78" i="15" s="1"/>
  <c r="R78" i="15" s="1"/>
  <c r="N81" i="15" a="1"/>
  <c r="N81" i="15" s="1"/>
  <c r="Q81" i="15" a="1"/>
  <c r="Q81" i="15" s="1"/>
  <c r="R81" i="15" s="1"/>
  <c r="N68" i="15" a="1"/>
  <c r="N68" i="15" s="1"/>
  <c r="Q68" i="15" a="1"/>
  <c r="Q68" i="15" s="1"/>
  <c r="R68" i="15" s="1"/>
  <c r="N84" i="15" a="1"/>
  <c r="N84" i="15" s="1"/>
  <c r="Q84" i="15" a="1"/>
  <c r="Q84" i="15" s="1"/>
  <c r="R84" i="15" s="1"/>
  <c r="N79" i="15" a="1"/>
  <c r="N79" i="15" s="1"/>
  <c r="Q79" i="15" a="1"/>
  <c r="Q79" i="15" s="1"/>
  <c r="R79" i="15" s="1"/>
  <c r="N83" i="15" a="1"/>
  <c r="N83" i="15" s="1"/>
  <c r="Q83" i="15" a="1"/>
  <c r="Q83" i="15" s="1"/>
  <c r="R83" i="15" s="1"/>
  <c r="N70" i="15" a="1"/>
  <c r="N70" i="15" s="1"/>
  <c r="Q70" i="15" a="1"/>
  <c r="Q70" i="15" s="1"/>
  <c r="R70" i="15" s="1"/>
  <c r="N86" i="15" a="1"/>
  <c r="N86" i="15" s="1"/>
  <c r="Q86" i="15" a="1"/>
  <c r="Q86" i="15" s="1"/>
  <c r="R86" i="15" s="1"/>
  <c r="N71" i="15" a="1"/>
  <c r="N71" i="15" s="1"/>
  <c r="Q71" i="15" a="1"/>
  <c r="Q71" i="15" s="1"/>
  <c r="R71" i="15" s="1"/>
  <c r="U53" i="14"/>
  <c r="J53" i="14"/>
  <c r="AW20" i="15"/>
  <c r="I66" i="5" s="1"/>
  <c r="K20" i="15"/>
  <c r="G66" i="5" s="1"/>
  <c r="AD20" i="15"/>
  <c r="H66" i="5" s="1"/>
  <c r="F53" i="5"/>
  <c r="N53" i="5"/>
  <c r="J20" i="4"/>
  <c r="K19" i="15"/>
  <c r="G65" i="5" s="1"/>
  <c r="AW19" i="15"/>
  <c r="I65" i="5" s="1"/>
  <c r="AD19" i="15"/>
  <c r="H65" i="5" s="1"/>
  <c r="D37" i="15"/>
  <c r="C25" i="14" s="1"/>
  <c r="W12" i="15"/>
  <c r="W13" i="15"/>
  <c r="X34" i="15" a="1"/>
  <c r="X34" i="15" s="1"/>
  <c r="AQ34" i="15" a="1"/>
  <c r="AQ34" i="15" s="1"/>
  <c r="H53" i="5"/>
  <c r="P53" i="5" s="1"/>
  <c r="I53" i="5"/>
  <c r="Q53" i="5" s="1"/>
  <c r="AQ35" i="15" a="1"/>
  <c r="AQ35" i="15" s="1"/>
  <c r="G53" i="5"/>
  <c r="O53" i="5" s="1"/>
  <c r="AP96" i="15"/>
  <c r="AP93" i="15"/>
  <c r="AP37" i="15"/>
  <c r="AP92" i="15"/>
  <c r="AP55" i="15"/>
  <c r="AT52" i="15"/>
  <c r="AX51" i="15" s="1"/>
  <c r="AP94" i="15"/>
  <c r="AP100" i="15"/>
  <c r="AP95" i="15"/>
  <c r="AP99" i="15"/>
  <c r="AP101" i="15"/>
  <c r="AQ33" i="15" a="1"/>
  <c r="AQ33" i="15" s="1"/>
  <c r="AP98" i="15"/>
  <c r="AP87" i="15"/>
  <c r="AP97" i="15"/>
  <c r="AW87" i="15"/>
  <c r="AP72" i="15"/>
  <c r="AW72" i="15"/>
  <c r="AP54" i="15"/>
  <c r="W95" i="15"/>
  <c r="W96" i="15"/>
  <c r="W101" i="15"/>
  <c r="X33" i="15" a="1"/>
  <c r="X33" i="15" s="1"/>
  <c r="X35" i="15" a="1"/>
  <c r="X35" i="15" s="1"/>
  <c r="W99" i="15"/>
  <c r="W97" i="15"/>
  <c r="AD87" i="15"/>
  <c r="W98" i="15"/>
  <c r="W92" i="15"/>
  <c r="W100" i="15"/>
  <c r="AA52" i="15"/>
  <c r="AE51" i="15" s="1"/>
  <c r="W93" i="15"/>
  <c r="W87" i="15"/>
  <c r="W94" i="15"/>
  <c r="AD72" i="15"/>
  <c r="W37" i="15"/>
  <c r="W72" i="15"/>
  <c r="W55" i="15"/>
  <c r="W54" i="15"/>
  <c r="D54" i="15"/>
  <c r="H52" i="15"/>
  <c r="E34" i="15" a="1"/>
  <c r="E34" i="15" s="1"/>
  <c r="D55" i="15"/>
  <c r="K87" i="15"/>
  <c r="D93" i="15"/>
  <c r="D96" i="15"/>
  <c r="D87" i="15"/>
  <c r="D99" i="15"/>
  <c r="E33" i="15" a="1"/>
  <c r="E33" i="15" s="1"/>
  <c r="D92" i="15"/>
  <c r="D72" i="15"/>
  <c r="D100" i="15"/>
  <c r="E35" i="15" a="1"/>
  <c r="E35" i="15" s="1"/>
  <c r="K72" i="15"/>
  <c r="D97" i="15"/>
  <c r="D94" i="15"/>
  <c r="D95" i="15"/>
  <c r="D98" i="15"/>
  <c r="D101" i="15"/>
  <c r="C151" i="4"/>
  <c r="Y25" i="14" l="1"/>
  <c r="N25" i="14"/>
  <c r="BD72" i="15"/>
  <c r="BD87" i="15"/>
  <c r="BC87" i="15" s="1"/>
  <c r="AK87" i="15"/>
  <c r="R87" i="15"/>
  <c r="Q87" i="15" s="1"/>
  <c r="AK72" i="15"/>
  <c r="AJ72" i="15" s="1"/>
  <c r="AJ87" i="15"/>
  <c r="R72" i="15"/>
  <c r="E65" i="5"/>
  <c r="AP38" i="15"/>
  <c r="AP41" i="15" s="1"/>
  <c r="AP42" i="15" s="1"/>
  <c r="AP44" i="15" s="1"/>
  <c r="AP45" i="15" s="1"/>
  <c r="X80" i="15"/>
  <c r="Y80" i="15" s="1"/>
  <c r="Z80" i="15" s="1"/>
  <c r="X81" i="15"/>
  <c r="Y81" i="15" s="1"/>
  <c r="Z81" i="15" s="1"/>
  <c r="X82" i="15"/>
  <c r="Y82" i="15" s="1"/>
  <c r="Z82" i="15" s="1"/>
  <c r="X79" i="15"/>
  <c r="Y79" i="15" s="1"/>
  <c r="Z79" i="15" s="1"/>
  <c r="X77" i="15"/>
  <c r="X83" i="15"/>
  <c r="Y83" i="15" s="1"/>
  <c r="Z83" i="15" s="1"/>
  <c r="X78" i="15"/>
  <c r="Y78" i="15" s="1"/>
  <c r="Z78" i="15" s="1"/>
  <c r="X84" i="15"/>
  <c r="Y84" i="15" s="1"/>
  <c r="Z84" i="15" s="1"/>
  <c r="X86" i="15"/>
  <c r="Y86" i="15" s="1"/>
  <c r="Z86" i="15" s="1"/>
  <c r="AE77" i="15"/>
  <c r="X85" i="15"/>
  <c r="Y85" i="15" s="1"/>
  <c r="Z85" i="15" s="1"/>
  <c r="AE63" i="15"/>
  <c r="AH63" i="15" s="1"/>
  <c r="AI63" i="15" s="1"/>
  <c r="AE71" i="15"/>
  <c r="AH71" i="15" s="1"/>
  <c r="AI71" i="15" s="1"/>
  <c r="X69" i="15"/>
  <c r="Y69" i="15" s="1"/>
  <c r="Z69" i="15" s="1"/>
  <c r="AE64" i="15"/>
  <c r="AH64" i="15" s="1"/>
  <c r="AI64" i="15" s="1"/>
  <c r="AE62" i="15"/>
  <c r="X70" i="15"/>
  <c r="Y70" i="15" s="1"/>
  <c r="Z70" i="15" s="1"/>
  <c r="AE65" i="15"/>
  <c r="AH65" i="15" s="1"/>
  <c r="AI65" i="15" s="1"/>
  <c r="X63" i="15"/>
  <c r="Y63" i="15" s="1"/>
  <c r="Z63" i="15" s="1"/>
  <c r="X71" i="15"/>
  <c r="Y71" i="15" s="1"/>
  <c r="Z71" i="15" s="1"/>
  <c r="X68" i="15"/>
  <c r="Y68" i="15" s="1"/>
  <c r="Z68" i="15" s="1"/>
  <c r="AE66" i="15"/>
  <c r="AH66" i="15" s="1"/>
  <c r="AI66" i="15" s="1"/>
  <c r="X64" i="15"/>
  <c r="Y64" i="15" s="1"/>
  <c r="Z64" i="15" s="1"/>
  <c r="X62" i="15"/>
  <c r="AE69" i="15"/>
  <c r="AH69" i="15" s="1"/>
  <c r="AI69" i="15" s="1"/>
  <c r="AE67" i="15"/>
  <c r="AH67" i="15" s="1"/>
  <c r="AI67" i="15" s="1"/>
  <c r="X65" i="15"/>
  <c r="Y65" i="15" s="1"/>
  <c r="Z65" i="15" s="1"/>
  <c r="AE68" i="15"/>
  <c r="AH68" i="15" s="1"/>
  <c r="AI68" i="15" s="1"/>
  <c r="X66" i="15"/>
  <c r="Y66" i="15" s="1"/>
  <c r="Z66" i="15" s="1"/>
  <c r="X67" i="15"/>
  <c r="Y67" i="15" s="1"/>
  <c r="Z67" i="15" s="1"/>
  <c r="AE70" i="15"/>
  <c r="AH70" i="15" s="1"/>
  <c r="AI70" i="15" s="1"/>
  <c r="AX64" i="15"/>
  <c r="BA64" i="15" s="1"/>
  <c r="BB64" i="15" s="1"/>
  <c r="AQ68" i="15"/>
  <c r="AR68" i="15" s="1"/>
  <c r="AS68" i="15" s="1"/>
  <c r="AX71" i="15"/>
  <c r="AX63" i="15"/>
  <c r="BA63" i="15" s="1"/>
  <c r="BB63" i="15" s="1"/>
  <c r="AQ69" i="15"/>
  <c r="AR69" i="15" s="1"/>
  <c r="AS69" i="15" s="1"/>
  <c r="AX70" i="15"/>
  <c r="BA70" i="15" s="1"/>
  <c r="BB70" i="15" s="1"/>
  <c r="AX62" i="15"/>
  <c r="BA62" i="15" s="1"/>
  <c r="BB62" i="15" s="1"/>
  <c r="AQ70" i="15"/>
  <c r="AR70" i="15" s="1"/>
  <c r="AS70" i="15" s="1"/>
  <c r="AX65" i="15"/>
  <c r="BA65" i="15" s="1"/>
  <c r="BB65" i="15" s="1"/>
  <c r="AQ67" i="15"/>
  <c r="AR67" i="15" s="1"/>
  <c r="AS67" i="15" s="1"/>
  <c r="AX69" i="15"/>
  <c r="AQ63" i="15"/>
  <c r="AR63" i="15" s="1"/>
  <c r="AS63" i="15" s="1"/>
  <c r="AQ71" i="15"/>
  <c r="AR71" i="15" s="1"/>
  <c r="AS71" i="15" s="1"/>
  <c r="AX66" i="15"/>
  <c r="BA66" i="15" s="1"/>
  <c r="BB66" i="15" s="1"/>
  <c r="AQ66" i="15"/>
  <c r="AR66" i="15" s="1"/>
  <c r="AS66" i="15" s="1"/>
  <c r="AX68" i="15"/>
  <c r="BA68" i="15" s="1"/>
  <c r="BB68" i="15" s="1"/>
  <c r="AQ64" i="15"/>
  <c r="AR64" i="15" s="1"/>
  <c r="AS64" i="15" s="1"/>
  <c r="AQ62" i="15"/>
  <c r="AX67" i="15"/>
  <c r="BA67" i="15" s="1"/>
  <c r="BB67" i="15" s="1"/>
  <c r="AQ65" i="15"/>
  <c r="AR65" i="15" s="1"/>
  <c r="AS65" i="15" s="1"/>
  <c r="AQ83" i="15"/>
  <c r="AR83" i="15" s="1"/>
  <c r="AS83" i="15" s="1"/>
  <c r="AX79" i="15"/>
  <c r="BA79" i="15" s="1"/>
  <c r="BB79" i="15" s="1"/>
  <c r="AX77" i="15"/>
  <c r="BA77" i="15" s="1"/>
  <c r="BB77" i="15" s="1"/>
  <c r="AQ82" i="15"/>
  <c r="AR82" i="15" s="1"/>
  <c r="AS82" i="15" s="1"/>
  <c r="AX80" i="15"/>
  <c r="AQ81" i="15"/>
  <c r="AR81" i="15" s="1"/>
  <c r="AS81" i="15" s="1"/>
  <c r="AX81" i="15"/>
  <c r="BA81" i="15" s="1"/>
  <c r="BB81" i="15" s="1"/>
  <c r="AX85" i="15"/>
  <c r="BA85" i="15" s="1"/>
  <c r="BB85" i="15" s="1"/>
  <c r="AX86" i="15"/>
  <c r="BA86" i="15" s="1"/>
  <c r="BB86" i="15" s="1"/>
  <c r="AQ80" i="15"/>
  <c r="AR80" i="15" s="1"/>
  <c r="AS80" i="15" s="1"/>
  <c r="AX82" i="15"/>
  <c r="BA82" i="15" s="1"/>
  <c r="BB82" i="15" s="1"/>
  <c r="AQ85" i="15"/>
  <c r="AR85" i="15" s="1"/>
  <c r="AS85" i="15" s="1"/>
  <c r="AQ79" i="15"/>
  <c r="AR79" i="15" s="1"/>
  <c r="AS79" i="15" s="1"/>
  <c r="AX83" i="15"/>
  <c r="BA83" i="15" s="1"/>
  <c r="BB83" i="15" s="1"/>
  <c r="AQ84" i="15"/>
  <c r="AR84" i="15" s="1"/>
  <c r="AS84" i="15" s="1"/>
  <c r="AQ86" i="15"/>
  <c r="AR86" i="15" s="1"/>
  <c r="AS86" i="15" s="1"/>
  <c r="AQ78" i="15"/>
  <c r="AR78" i="15" s="1"/>
  <c r="AS78" i="15" s="1"/>
  <c r="AX84" i="15"/>
  <c r="BA84" i="15" s="1"/>
  <c r="BB84" i="15" s="1"/>
  <c r="AX78" i="15"/>
  <c r="BA78" i="15" s="1"/>
  <c r="BB78" i="15" s="1"/>
  <c r="AQ77" i="15"/>
  <c r="BA80" i="15"/>
  <c r="BB80" i="15" s="1"/>
  <c r="AP102" i="15"/>
  <c r="AX91" i="15" s="1"/>
  <c r="BA71" i="15"/>
  <c r="BB71" i="15" s="1"/>
  <c r="BA69" i="15"/>
  <c r="BB69" i="15" s="1"/>
  <c r="W102" i="15"/>
  <c r="AE91" i="15" s="1"/>
  <c r="W38" i="15"/>
  <c r="W41" i="15" s="1"/>
  <c r="W42" i="15" s="1"/>
  <c r="W44" i="15" s="1"/>
  <c r="AE84" i="15"/>
  <c r="AH84" i="15" s="1"/>
  <c r="AI84" i="15" s="1"/>
  <c r="AE80" i="15"/>
  <c r="AH80" i="15" s="1"/>
  <c r="AI80" i="15" s="1"/>
  <c r="AE81" i="15"/>
  <c r="AH81" i="15" s="1"/>
  <c r="AI81" i="15" s="1"/>
  <c r="AE83" i="15"/>
  <c r="AH83" i="15" s="1"/>
  <c r="AI83" i="15" s="1"/>
  <c r="AE82" i="15"/>
  <c r="AH82" i="15" s="1"/>
  <c r="AI82" i="15" s="1"/>
  <c r="AE86" i="15"/>
  <c r="AH86" i="15" s="1"/>
  <c r="AI86" i="15" s="1"/>
  <c r="AE78" i="15"/>
  <c r="AH78" i="15" s="1"/>
  <c r="AI78" i="15" s="1"/>
  <c r="AE85" i="15"/>
  <c r="AH85" i="15" s="1"/>
  <c r="AI85" i="15" s="1"/>
  <c r="AE79" i="15"/>
  <c r="AH79" i="15" s="1"/>
  <c r="AI79" i="15" s="1"/>
  <c r="L67" i="15"/>
  <c r="O67" i="15" s="1"/>
  <c r="P67" i="15" s="1"/>
  <c r="E69" i="15"/>
  <c r="F69" i="15" s="1"/>
  <c r="G69" i="15" s="1"/>
  <c r="L65" i="15"/>
  <c r="O65" i="15" s="1"/>
  <c r="P65" i="15" s="1"/>
  <c r="E65" i="15"/>
  <c r="F65" i="15" s="1"/>
  <c r="G65" i="15" s="1"/>
  <c r="L51" i="15"/>
  <c r="E62" i="15"/>
  <c r="F62" i="15" s="1"/>
  <c r="G62" i="15" s="1"/>
  <c r="L64" i="15"/>
  <c r="O64" i="15" s="1"/>
  <c r="P64" i="15" s="1"/>
  <c r="L69" i="15"/>
  <c r="O69" i="15" s="1"/>
  <c r="P69" i="15" s="1"/>
  <c r="E63" i="15"/>
  <c r="E71" i="15"/>
  <c r="E67" i="15"/>
  <c r="L68" i="15"/>
  <c r="O68" i="15" s="1"/>
  <c r="P68" i="15" s="1"/>
  <c r="L62" i="15"/>
  <c r="O62" i="15" s="1"/>
  <c r="P62" i="15" s="1"/>
  <c r="E68" i="15"/>
  <c r="E66" i="15"/>
  <c r="L70" i="15"/>
  <c r="O70" i="15" s="1"/>
  <c r="P70" i="15" s="1"/>
  <c r="L63" i="15"/>
  <c r="O63" i="15" s="1"/>
  <c r="P63" i="15" s="1"/>
  <c r="E70" i="15"/>
  <c r="L66" i="15"/>
  <c r="O66" i="15" s="1"/>
  <c r="P66" i="15" s="1"/>
  <c r="E64" i="15"/>
  <c r="L71" i="15"/>
  <c r="O71" i="15" s="1"/>
  <c r="P71" i="15" s="1"/>
  <c r="D38" i="15"/>
  <c r="D102" i="15"/>
  <c r="L91" i="15" s="1"/>
  <c r="L85" i="15"/>
  <c r="O85" i="15" s="1"/>
  <c r="P85" i="15" s="1"/>
  <c r="E85" i="15"/>
  <c r="L86" i="15"/>
  <c r="O86" i="15" s="1"/>
  <c r="P86" i="15" s="1"/>
  <c r="L84" i="15"/>
  <c r="O84" i="15" s="1"/>
  <c r="P84" i="15" s="1"/>
  <c r="L81" i="15"/>
  <c r="O81" i="15" s="1"/>
  <c r="P81" i="15" s="1"/>
  <c r="E77" i="15"/>
  <c r="F77" i="15" s="1"/>
  <c r="E82" i="15"/>
  <c r="L78" i="15"/>
  <c r="O78" i="15" s="1"/>
  <c r="P78" i="15" s="1"/>
  <c r="L83" i="15"/>
  <c r="O83" i="15" s="1"/>
  <c r="P83" i="15" s="1"/>
  <c r="E79" i="15"/>
  <c r="E84" i="15"/>
  <c r="L80" i="15"/>
  <c r="O80" i="15" s="1"/>
  <c r="P80" i="15" s="1"/>
  <c r="L82" i="15"/>
  <c r="O82" i="15" s="1"/>
  <c r="P82" i="15" s="1"/>
  <c r="E78" i="15"/>
  <c r="E86" i="15"/>
  <c r="E81" i="15"/>
  <c r="L77" i="15"/>
  <c r="E83" i="15"/>
  <c r="E80" i="15"/>
  <c r="L79" i="15"/>
  <c r="O79" i="15" s="1"/>
  <c r="P79" i="15" s="1"/>
  <c r="G232" i="4"/>
  <c r="G233" i="4"/>
  <c r="G231" i="4"/>
  <c r="D104" i="12"/>
  <c r="D105" i="12"/>
  <c r="D106" i="12"/>
  <c r="C105" i="12"/>
  <c r="C106" i="12"/>
  <c r="C104" i="12"/>
  <c r="F230" i="4"/>
  <c r="F229" i="4"/>
  <c r="D94" i="12"/>
  <c r="D41" i="4"/>
  <c r="D237" i="4" s="1"/>
  <c r="D40" i="4"/>
  <c r="D236" i="4" s="1"/>
  <c r="F35" i="4"/>
  <c r="F36" i="4"/>
  <c r="F233" i="4" s="1"/>
  <c r="F34" i="4"/>
  <c r="F231" i="4" s="1"/>
  <c r="D35" i="4"/>
  <c r="D232" i="4" s="1"/>
  <c r="D36" i="4"/>
  <c r="D233" i="4" s="1"/>
  <c r="D34" i="4"/>
  <c r="D231" i="4" s="1"/>
  <c r="C35" i="4"/>
  <c r="C232" i="4" s="1"/>
  <c r="C36" i="4"/>
  <c r="C233" i="4" s="1"/>
  <c r="C34" i="4"/>
  <c r="C231" i="4" s="1"/>
  <c r="D12" i="4"/>
  <c r="D9" i="4"/>
  <c r="D11" i="4"/>
  <c r="D10" i="4"/>
  <c r="D13" i="4" s="1"/>
  <c r="H54" i="4"/>
  <c r="D7" i="4"/>
  <c r="D6" i="4"/>
  <c r="D14" i="4"/>
  <c r="D157" i="4"/>
  <c r="J33" i="5" s="1"/>
  <c r="D146" i="4"/>
  <c r="D124" i="4"/>
  <c r="D118" i="4"/>
  <c r="D131" i="4"/>
  <c r="D127" i="4"/>
  <c r="D22" i="4"/>
  <c r="D21" i="15" s="1"/>
  <c r="W21" i="15" s="1"/>
  <c r="AP21" i="15" s="1"/>
  <c r="D21" i="4"/>
  <c r="D20" i="15" s="1"/>
  <c r="W20" i="15" s="1"/>
  <c r="AP20" i="15" s="1"/>
  <c r="D17" i="4"/>
  <c r="D16" i="15" s="1"/>
  <c r="W16" i="15" s="1"/>
  <c r="AP16" i="15" s="1"/>
  <c r="D18" i="4"/>
  <c r="D17" i="15" s="1"/>
  <c r="W17" i="15" s="1"/>
  <c r="AP17" i="15" s="1"/>
  <c r="D19" i="4"/>
  <c r="D16" i="4"/>
  <c r="D15" i="15" s="1"/>
  <c r="W15" i="15" s="1"/>
  <c r="M79" i="4"/>
  <c r="N79" i="4" s="1" a="1"/>
  <c r="N79" i="4" s="1"/>
  <c r="M80" i="4"/>
  <c r="N80" i="4" s="1" a="1"/>
  <c r="N80" i="4" s="1"/>
  <c r="M81" i="4"/>
  <c r="N81" i="4" s="1" a="1"/>
  <c r="N81" i="4" s="1"/>
  <c r="M82" i="4"/>
  <c r="N82" i="4" s="1" a="1"/>
  <c r="N82" i="4" s="1"/>
  <c r="M83" i="4"/>
  <c r="N83" i="4" s="1" a="1"/>
  <c r="N83" i="4" s="1"/>
  <c r="M84" i="4"/>
  <c r="N84" i="4" s="1" a="1"/>
  <c r="N84" i="4" s="1"/>
  <c r="M85" i="4"/>
  <c r="N85" i="4" s="1" a="1"/>
  <c r="N85" i="4" s="1"/>
  <c r="M86" i="4"/>
  <c r="N86" i="4" s="1" a="1"/>
  <c r="N86" i="4" s="1"/>
  <c r="M87" i="4"/>
  <c r="N87" i="4" s="1" a="1"/>
  <c r="N87" i="4" s="1"/>
  <c r="M78" i="4"/>
  <c r="N78" i="4" s="1" a="1"/>
  <c r="N78" i="4" s="1"/>
  <c r="K79" i="4"/>
  <c r="K180" i="4" s="1"/>
  <c r="K80" i="4"/>
  <c r="K181" i="4" s="1"/>
  <c r="K81" i="4"/>
  <c r="K182" i="4" s="1"/>
  <c r="K82" i="4"/>
  <c r="K183" i="4" s="1"/>
  <c r="K83" i="4"/>
  <c r="K184" i="4" s="1"/>
  <c r="K84" i="4"/>
  <c r="K185" i="4" s="1"/>
  <c r="K85" i="4"/>
  <c r="K186" i="4" s="1"/>
  <c r="K86" i="4"/>
  <c r="K187" i="4" s="1"/>
  <c r="K87" i="4"/>
  <c r="K188" i="4" s="1"/>
  <c r="K78" i="4"/>
  <c r="K179" i="4" s="1"/>
  <c r="M64" i="4"/>
  <c r="N64" i="4" s="1" a="1"/>
  <c r="N64" i="4" s="1"/>
  <c r="M66" i="4"/>
  <c r="N66" i="4" s="1" a="1"/>
  <c r="N66" i="4" s="1"/>
  <c r="M67" i="4"/>
  <c r="N67" i="4" s="1" a="1"/>
  <c r="N67" i="4" s="1"/>
  <c r="M68" i="4"/>
  <c r="N68" i="4" s="1" a="1"/>
  <c r="N68" i="4" s="1"/>
  <c r="M69" i="4"/>
  <c r="N69" i="4" s="1" a="1"/>
  <c r="N69" i="4" s="1"/>
  <c r="M70" i="4"/>
  <c r="N70" i="4" s="1" a="1"/>
  <c r="N70" i="4" s="1"/>
  <c r="M71" i="4"/>
  <c r="N71" i="4" s="1" a="1"/>
  <c r="N71" i="4" s="1"/>
  <c r="M72" i="4"/>
  <c r="N72" i="4" s="1" a="1"/>
  <c r="N72" i="4" s="1"/>
  <c r="K64" i="4"/>
  <c r="K165" i="4" s="1"/>
  <c r="K65" i="4"/>
  <c r="K166" i="4" s="1"/>
  <c r="K66" i="4"/>
  <c r="K167" i="4" s="1"/>
  <c r="K67" i="4"/>
  <c r="K168" i="4" s="1"/>
  <c r="K169" i="4"/>
  <c r="K170" i="4"/>
  <c r="K171" i="4"/>
  <c r="K172" i="4"/>
  <c r="K173" i="4"/>
  <c r="K63" i="4"/>
  <c r="K164" i="4" s="1"/>
  <c r="D79" i="4"/>
  <c r="O197" i="4" s="1"/>
  <c r="D80" i="4"/>
  <c r="O198" i="4" s="1"/>
  <c r="D81" i="4"/>
  <c r="O199" i="4" s="1"/>
  <c r="D82" i="4"/>
  <c r="O200" i="4" s="1"/>
  <c r="D83" i="4"/>
  <c r="O201" i="4" s="1"/>
  <c r="D84" i="4"/>
  <c r="O202" i="4" s="1"/>
  <c r="D85" i="4"/>
  <c r="O203" i="4" s="1"/>
  <c r="D86" i="4"/>
  <c r="O204" i="4" s="1"/>
  <c r="D87" i="4"/>
  <c r="O205" i="4" s="1"/>
  <c r="D78" i="4"/>
  <c r="D179" i="4" s="1"/>
  <c r="D64" i="4"/>
  <c r="D165" i="4" s="1"/>
  <c r="D65" i="4"/>
  <c r="D198" i="4" s="1"/>
  <c r="D66" i="4"/>
  <c r="D167" i="4" s="1"/>
  <c r="D67" i="4"/>
  <c r="D200" i="4" s="1"/>
  <c r="D68" i="4"/>
  <c r="D169" i="4" s="1"/>
  <c r="D69" i="4"/>
  <c r="D202" i="4" s="1"/>
  <c r="D70" i="4"/>
  <c r="D203" i="4" s="1"/>
  <c r="D71" i="4"/>
  <c r="D204" i="4" s="1"/>
  <c r="D72" i="4"/>
  <c r="D205" i="4" s="1"/>
  <c r="D63" i="4"/>
  <c r="D196" i="4" s="1"/>
  <c r="H52" i="4"/>
  <c r="D54" i="4"/>
  <c r="D53" i="4"/>
  <c r="L181" i="4" s="1"/>
  <c r="D51" i="4"/>
  <c r="C150" i="4" s="1"/>
  <c r="L53" i="4"/>
  <c r="L51" i="4"/>
  <c r="J1" i="4"/>
  <c r="C1" i="4"/>
  <c r="K1" i="5"/>
  <c r="D1" i="5"/>
  <c r="H59" i="12"/>
  <c r="E59" i="12"/>
  <c r="F59" i="12"/>
  <c r="D59" i="12"/>
  <c r="R196" i="4" a="1"/>
  <c r="R196" i="4" s="1"/>
  <c r="R197" i="4" a="1"/>
  <c r="R197" i="4" s="1"/>
  <c r="R198" i="4" a="1"/>
  <c r="R198" i="4" s="1"/>
  <c r="R199" i="4" a="1"/>
  <c r="R199" i="4" s="1"/>
  <c r="R200" i="4" a="1"/>
  <c r="R200" i="4" s="1"/>
  <c r="R205" i="4" a="1"/>
  <c r="R205" i="4" s="1"/>
  <c r="F37" i="1"/>
  <c r="F36" i="1"/>
  <c r="R204" i="4" s="1" a="1"/>
  <c r="R204" i="4" s="1"/>
  <c r="F35" i="1"/>
  <c r="R203" i="4" s="1" a="1"/>
  <c r="R203" i="4" s="1"/>
  <c r="F34" i="1"/>
  <c r="R202" i="4" s="1" a="1"/>
  <c r="R202" i="4" s="1"/>
  <c r="F33" i="1"/>
  <c r="R201" i="4" s="1" a="1"/>
  <c r="R201" i="4" s="1"/>
  <c r="F32" i="1"/>
  <c r="F31" i="1"/>
  <c r="F30" i="1"/>
  <c r="F29" i="1"/>
  <c r="F28" i="1"/>
  <c r="D29" i="1"/>
  <c r="D30" i="1"/>
  <c r="D31" i="1"/>
  <c r="D32" i="1"/>
  <c r="D33" i="1"/>
  <c r="D34" i="1"/>
  <c r="D35" i="1"/>
  <c r="D36" i="1"/>
  <c r="D37" i="1"/>
  <c r="D28" i="1"/>
  <c r="G42" i="1"/>
  <c r="I42" i="1"/>
  <c r="D42" i="1"/>
  <c r="E42" i="1" s="1"/>
  <c r="F42" i="1" s="1"/>
  <c r="F44" i="1"/>
  <c r="F45" i="1" s="1"/>
  <c r="F46" i="1" s="1"/>
  <c r="F47" i="1" s="1"/>
  <c r="F49" i="1"/>
  <c r="F50" i="1" s="1"/>
  <c r="F51" i="1" s="1"/>
  <c r="G198" i="4" a="1"/>
  <c r="G198" i="4" s="1"/>
  <c r="G199" i="4" a="1"/>
  <c r="G199" i="4" s="1"/>
  <c r="G200" i="4" a="1"/>
  <c r="G200" i="4" s="1"/>
  <c r="G201" i="4" a="1"/>
  <c r="G201" i="4" s="1"/>
  <c r="G203" i="4" a="1"/>
  <c r="G203" i="4" s="1"/>
  <c r="G204" i="4" a="1"/>
  <c r="G204" i="4" s="1"/>
  <c r="G205" i="4" a="1"/>
  <c r="G205" i="4" s="1"/>
  <c r="G196" i="4" a="1"/>
  <c r="G196" i="4" s="1"/>
  <c r="H51" i="4"/>
  <c r="B9" i="1"/>
  <c r="B10" i="1"/>
  <c r="B11" i="1"/>
  <c r="B12" i="1"/>
  <c r="B13" i="1"/>
  <c r="B14" i="1"/>
  <c r="B15" i="1"/>
  <c r="B16" i="1"/>
  <c r="B17" i="1"/>
  <c r="B18" i="1"/>
  <c r="B19" i="1"/>
  <c r="B20" i="1"/>
  <c r="B21" i="1"/>
  <c r="B22" i="1"/>
  <c r="B23" i="1"/>
  <c r="B8" i="1"/>
  <c r="D44" i="4"/>
  <c r="D240" i="4" s="1"/>
  <c r="H32" i="3"/>
  <c r="G32" i="3"/>
  <c r="F32" i="3"/>
  <c r="E32" i="3"/>
  <c r="D32" i="3"/>
  <c r="C32" i="3"/>
  <c r="B32" i="3"/>
  <c r="H31" i="3"/>
  <c r="G31" i="3"/>
  <c r="F31" i="3"/>
  <c r="E31" i="3"/>
  <c r="D31" i="3"/>
  <c r="C31" i="3"/>
  <c r="B31" i="3"/>
  <c r="H30" i="3"/>
  <c r="G30" i="3"/>
  <c r="F30" i="3"/>
  <c r="E30" i="3"/>
  <c r="D30" i="3"/>
  <c r="C30" i="3"/>
  <c r="B30" i="3"/>
  <c r="H29" i="3"/>
  <c r="G29" i="3"/>
  <c r="F29" i="3"/>
  <c r="E29" i="3"/>
  <c r="D29" i="3"/>
  <c r="C29" i="3"/>
  <c r="B29" i="3"/>
  <c r="H28" i="3"/>
  <c r="G28" i="3"/>
  <c r="F28" i="3"/>
  <c r="E28" i="3"/>
  <c r="D28" i="3"/>
  <c r="C28" i="3"/>
  <c r="B28" i="3"/>
  <c r="H27" i="3"/>
  <c r="G27" i="3"/>
  <c r="F27" i="3"/>
  <c r="E27" i="3"/>
  <c r="D27" i="3"/>
  <c r="C27" i="3"/>
  <c r="B27" i="3"/>
  <c r="H26" i="3"/>
  <c r="G26" i="3"/>
  <c r="F26" i="3"/>
  <c r="E26" i="3"/>
  <c r="D26" i="3"/>
  <c r="C26" i="3"/>
  <c r="B26" i="3"/>
  <c r="H25" i="3"/>
  <c r="G25" i="3"/>
  <c r="F25" i="3"/>
  <c r="E25" i="3"/>
  <c r="D25" i="3"/>
  <c r="C25" i="3"/>
  <c r="B25" i="3"/>
  <c r="H24" i="3"/>
  <c r="G24" i="3"/>
  <c r="F24" i="3"/>
  <c r="E24" i="3"/>
  <c r="D24" i="3"/>
  <c r="C24" i="3"/>
  <c r="B24" i="3"/>
  <c r="H23" i="3"/>
  <c r="G23" i="3"/>
  <c r="F23" i="3"/>
  <c r="E23" i="3"/>
  <c r="D23" i="3"/>
  <c r="C23" i="3"/>
  <c r="B23" i="3"/>
  <c r="H22" i="3"/>
  <c r="G22" i="3"/>
  <c r="F22" i="3"/>
  <c r="E22" i="3"/>
  <c r="D22" i="3"/>
  <c r="C22" i="3"/>
  <c r="B22" i="3"/>
  <c r="H21" i="3"/>
  <c r="G21" i="3"/>
  <c r="F21" i="3"/>
  <c r="E21" i="3"/>
  <c r="D21" i="3"/>
  <c r="C21" i="3"/>
  <c r="B21" i="3"/>
  <c r="H20" i="3"/>
  <c r="G20" i="3"/>
  <c r="F20" i="3"/>
  <c r="E20" i="3"/>
  <c r="D20" i="3"/>
  <c r="C20" i="3"/>
  <c r="B20" i="3"/>
  <c r="H19" i="3"/>
  <c r="G19" i="3"/>
  <c r="F19" i="3"/>
  <c r="E19" i="3"/>
  <c r="D19" i="3"/>
  <c r="C19" i="3"/>
  <c r="B19" i="3"/>
  <c r="H18" i="3"/>
  <c r="G18" i="3"/>
  <c r="F18" i="3"/>
  <c r="E18" i="3"/>
  <c r="D18" i="3"/>
  <c r="C18" i="3"/>
  <c r="B18" i="3"/>
  <c r="H17" i="3"/>
  <c r="G17" i="3"/>
  <c r="F17" i="3"/>
  <c r="E17" i="3"/>
  <c r="D17" i="3"/>
  <c r="C17" i="3"/>
  <c r="B17" i="3"/>
  <c r="H16" i="3"/>
  <c r="G16" i="3"/>
  <c r="F16" i="3"/>
  <c r="E16" i="3"/>
  <c r="D16" i="3"/>
  <c r="C16" i="3"/>
  <c r="B16" i="3"/>
  <c r="H15" i="3"/>
  <c r="G15" i="3"/>
  <c r="F15" i="3"/>
  <c r="E15" i="3"/>
  <c r="D15" i="3"/>
  <c r="C15" i="3"/>
  <c r="B15" i="3"/>
  <c r="H14" i="3"/>
  <c r="G14" i="3"/>
  <c r="F14" i="3"/>
  <c r="E14" i="3"/>
  <c r="D14" i="3"/>
  <c r="C14" i="3"/>
  <c r="B14" i="3"/>
  <c r="H13" i="3"/>
  <c r="G13" i="3"/>
  <c r="F13" i="3"/>
  <c r="E13" i="3"/>
  <c r="D13" i="3"/>
  <c r="C13" i="3"/>
  <c r="B13" i="3"/>
  <c r="H12" i="3"/>
  <c r="G12" i="3"/>
  <c r="F12" i="3"/>
  <c r="E12" i="3"/>
  <c r="D12" i="3"/>
  <c r="C12" i="3"/>
  <c r="B12" i="3"/>
  <c r="H11" i="3"/>
  <c r="G11" i="3"/>
  <c r="F11" i="3"/>
  <c r="E11" i="3"/>
  <c r="D11" i="3"/>
  <c r="C11" i="3"/>
  <c r="B11" i="3"/>
  <c r="L100" i="15" l="1"/>
  <c r="J59" i="12"/>
  <c r="AR62" i="15"/>
  <c r="AS62" i="15" s="1"/>
  <c r="AE100" i="15"/>
  <c r="U54" i="14"/>
  <c r="BC72" i="15"/>
  <c r="AX100" i="15"/>
  <c r="Q72" i="15"/>
  <c r="J54" i="14"/>
  <c r="D43" i="1"/>
  <c r="D44" i="1" s="1"/>
  <c r="D45" i="1" s="1"/>
  <c r="H42" i="1"/>
  <c r="J42" i="1"/>
  <c r="AR77" i="15"/>
  <c r="AS77" i="15" s="1"/>
  <c r="AP46" i="15"/>
  <c r="AX7" i="15" s="1"/>
  <c r="AW7" i="15"/>
  <c r="J30" i="5"/>
  <c r="W45" i="15"/>
  <c r="W46" i="15" s="1"/>
  <c r="AQ93" i="15"/>
  <c r="AR93" i="15" s="1"/>
  <c r="AS93" i="15" s="1"/>
  <c r="AQ95" i="15"/>
  <c r="AR95" i="15" s="1"/>
  <c r="AS95" i="15" s="1"/>
  <c r="AP15" i="15"/>
  <c r="AP19" i="15" s="1"/>
  <c r="AW14" i="15" s="1"/>
  <c r="W19" i="15"/>
  <c r="AD14" i="15" s="1"/>
  <c r="AQ98" i="15"/>
  <c r="AR98" i="15" s="1"/>
  <c r="AS98" i="15" s="1"/>
  <c r="AS72" i="15"/>
  <c r="AR72" i="15" s="1"/>
  <c r="AQ72" i="15"/>
  <c r="AQ94" i="15"/>
  <c r="AR94" i="15" s="1"/>
  <c r="AS94" i="15" s="1"/>
  <c r="AQ99" i="15"/>
  <c r="AR99" i="15" s="1"/>
  <c r="AS99" i="15" s="1"/>
  <c r="AX87" i="15"/>
  <c r="BB72" i="15"/>
  <c r="BA72" i="15" s="1"/>
  <c r="AQ87" i="15"/>
  <c r="AQ96" i="15"/>
  <c r="AR96" i="15" s="1"/>
  <c r="AS96" i="15" s="1"/>
  <c r="AQ100" i="15"/>
  <c r="AR100" i="15" s="1"/>
  <c r="AS100" i="15" s="1"/>
  <c r="BB87" i="15"/>
  <c r="BA87" i="15" s="1"/>
  <c r="AQ97" i="15"/>
  <c r="AR97" i="15" s="1"/>
  <c r="AS97" i="15" s="1"/>
  <c r="AQ101" i="15"/>
  <c r="AR101" i="15" s="1"/>
  <c r="AS101" i="15" s="1"/>
  <c r="AX72" i="15"/>
  <c r="X94" i="15"/>
  <c r="Y94" i="15" s="1"/>
  <c r="Z94" i="15" s="1"/>
  <c r="AE72" i="15"/>
  <c r="AH62" i="15"/>
  <c r="AI62" i="15" s="1"/>
  <c r="AI72" i="15" s="1"/>
  <c r="AH72" i="15" s="1"/>
  <c r="X99" i="15"/>
  <c r="Y99" i="15" s="1"/>
  <c r="Z99" i="15" s="1"/>
  <c r="X100" i="15"/>
  <c r="Y100" i="15" s="1"/>
  <c r="Z100" i="15" s="1"/>
  <c r="X93" i="15"/>
  <c r="Y93" i="15" s="1"/>
  <c r="Z93" i="15" s="1"/>
  <c r="X98" i="15"/>
  <c r="Y98" i="15" s="1"/>
  <c r="Z98" i="15" s="1"/>
  <c r="AE87" i="15"/>
  <c r="AH77" i="15"/>
  <c r="AI77" i="15" s="1"/>
  <c r="AI87" i="15" s="1"/>
  <c r="AH87" i="15" s="1"/>
  <c r="X72" i="15"/>
  <c r="Y62" i="15"/>
  <c r="Z62" i="15" s="1"/>
  <c r="X101" i="15"/>
  <c r="Y101" i="15" s="1"/>
  <c r="Z101" i="15" s="1"/>
  <c r="X97" i="15"/>
  <c r="Y97" i="15" s="1"/>
  <c r="Z97" i="15" s="1"/>
  <c r="Y77" i="15"/>
  <c r="Z77" i="15" s="1"/>
  <c r="Z87" i="15" s="1"/>
  <c r="Y87" i="15" s="1"/>
  <c r="X87" i="15"/>
  <c r="X95" i="15"/>
  <c r="Y95" i="15" s="1"/>
  <c r="Z95" i="15" s="1"/>
  <c r="X96" i="15"/>
  <c r="Y96" i="15" s="1"/>
  <c r="Z96" i="15" s="1"/>
  <c r="D19" i="15"/>
  <c r="K14" i="15" s="1"/>
  <c r="G111" i="15" s="1"/>
  <c r="F66" i="15"/>
  <c r="G66" i="15" s="1"/>
  <c r="F80" i="15"/>
  <c r="G80" i="15" s="1"/>
  <c r="E95" i="15" s="1"/>
  <c r="F95" i="15" s="1"/>
  <c r="G95" i="15" s="1"/>
  <c r="F84" i="15"/>
  <c r="G84" i="15" s="1"/>
  <c r="E99" i="15" s="1"/>
  <c r="F99" i="15" s="1"/>
  <c r="G99" i="15" s="1"/>
  <c r="F70" i="15"/>
  <c r="G70" i="15" s="1"/>
  <c r="F86" i="15"/>
  <c r="G86" i="15" s="1"/>
  <c r="F85" i="15"/>
  <c r="G85" i="15" s="1"/>
  <c r="F71" i="15"/>
  <c r="G71" i="15" s="1"/>
  <c r="F68" i="15"/>
  <c r="G68" i="15" s="1"/>
  <c r="F83" i="15"/>
  <c r="G83" i="15" s="1"/>
  <c r="F79" i="15"/>
  <c r="G79" i="15" s="1"/>
  <c r="F67" i="15"/>
  <c r="G67" i="15" s="1"/>
  <c r="F81" i="15"/>
  <c r="G81" i="15" s="1"/>
  <c r="F78" i="15"/>
  <c r="G78" i="15" s="1"/>
  <c r="F63" i="15"/>
  <c r="G63" i="15" s="1"/>
  <c r="F82" i="15"/>
  <c r="G82" i="15" s="1"/>
  <c r="F64" i="15"/>
  <c r="G64" i="15" s="1"/>
  <c r="E72" i="15"/>
  <c r="P72" i="15"/>
  <c r="O72" i="15" s="1"/>
  <c r="L72" i="15"/>
  <c r="E87" i="15"/>
  <c r="G77" i="15"/>
  <c r="O77" i="15"/>
  <c r="P77" i="15" s="1"/>
  <c r="L87" i="15"/>
  <c r="D41" i="15"/>
  <c r="D42" i="15" s="1"/>
  <c r="D44" i="15" s="1"/>
  <c r="D45" i="15" s="1"/>
  <c r="D46" i="15" s="1"/>
  <c r="L7" i="15" s="1"/>
  <c r="H55" i="4"/>
  <c r="J32" i="5"/>
  <c r="H231" i="4" a="1"/>
  <c r="H231" i="4" s="1"/>
  <c r="F232" i="4"/>
  <c r="E231" i="4" a="1"/>
  <c r="E231" i="4" s="1"/>
  <c r="E233" i="4" a="1"/>
  <c r="E233" i="4" s="1"/>
  <c r="H233" i="4" a="1"/>
  <c r="H233" i="4" s="1"/>
  <c r="E232" i="4" a="1"/>
  <c r="E232" i="4" s="1"/>
  <c r="H232" i="4" a="1"/>
  <c r="H232" i="4" s="1"/>
  <c r="G202" i="4" a="1"/>
  <c r="G202" i="4" s="1"/>
  <c r="G197" i="4" a="1"/>
  <c r="G197" i="4" s="1"/>
  <c r="E34" i="4" a="1"/>
  <c r="E34" i="4" s="1"/>
  <c r="E36" i="4" a="1"/>
  <c r="E36" i="4" s="1"/>
  <c r="E35" i="4" a="1"/>
  <c r="E35" i="4" s="1"/>
  <c r="D38" i="4"/>
  <c r="D185" i="4"/>
  <c r="M164" i="4"/>
  <c r="N164" i="4" s="1" a="1"/>
  <c r="N164" i="4" s="1"/>
  <c r="M188" i="4"/>
  <c r="N188" i="4" s="1" a="1"/>
  <c r="N188" i="4" s="1"/>
  <c r="M183" i="4"/>
  <c r="N183" i="4" s="1" a="1"/>
  <c r="N183" i="4" s="1"/>
  <c r="M182" i="4"/>
  <c r="N182" i="4" s="1" a="1"/>
  <c r="N182" i="4" s="1"/>
  <c r="D164" i="4"/>
  <c r="D183" i="4"/>
  <c r="M172" i="4"/>
  <c r="N172" i="4" s="1" a="1"/>
  <c r="N172" i="4" s="1"/>
  <c r="M181" i="4"/>
  <c r="N181" i="4" s="1" a="1"/>
  <c r="N181" i="4" s="1"/>
  <c r="M173" i="4"/>
  <c r="N173" i="4" s="1" a="1"/>
  <c r="N173" i="4" s="1"/>
  <c r="D173" i="4"/>
  <c r="D182" i="4"/>
  <c r="M171" i="4"/>
  <c r="N171" i="4" s="1" a="1"/>
  <c r="N171" i="4" s="1"/>
  <c r="M180" i="4"/>
  <c r="N180" i="4" s="1" a="1"/>
  <c r="N180" i="4" s="1"/>
  <c r="D184" i="4"/>
  <c r="D168" i="4"/>
  <c r="M166" i="4"/>
  <c r="N166" i="4" s="1" a="1"/>
  <c r="N166" i="4" s="1"/>
  <c r="M165" i="4"/>
  <c r="N165" i="4" s="1" a="1"/>
  <c r="N165" i="4" s="1"/>
  <c r="D166" i="4"/>
  <c r="M179" i="4"/>
  <c r="N179" i="4" s="1" a="1"/>
  <c r="N179" i="4" s="1"/>
  <c r="L188" i="4"/>
  <c r="L169" i="4"/>
  <c r="E166" i="4"/>
  <c r="F166" i="4" s="1"/>
  <c r="E165" i="4"/>
  <c r="F165" i="4" s="1"/>
  <c r="L170" i="4"/>
  <c r="L171" i="4"/>
  <c r="E164" i="4"/>
  <c r="F164" i="4" s="1"/>
  <c r="E173" i="4"/>
  <c r="F173" i="4" s="1"/>
  <c r="E185" i="4"/>
  <c r="F185" i="4" s="1"/>
  <c r="K189" i="4"/>
  <c r="L182" i="4"/>
  <c r="D172" i="4"/>
  <c r="D181" i="4"/>
  <c r="M170" i="4"/>
  <c r="N170" i="4" s="1" a="1"/>
  <c r="N170" i="4" s="1"/>
  <c r="M187" i="4"/>
  <c r="N187" i="4" s="1" a="1"/>
  <c r="N187" i="4" s="1"/>
  <c r="E170" i="4"/>
  <c r="F170" i="4" s="1"/>
  <c r="L166" i="4"/>
  <c r="E179" i="4"/>
  <c r="F179" i="4" s="1"/>
  <c r="E181" i="4"/>
  <c r="F181" i="4" s="1"/>
  <c r="L185" i="4"/>
  <c r="E184" i="4"/>
  <c r="F184" i="4" s="1"/>
  <c r="E172" i="4"/>
  <c r="F172" i="4" s="1"/>
  <c r="L164" i="4"/>
  <c r="L183" i="4"/>
  <c r="E171" i="4"/>
  <c r="F171" i="4" s="1"/>
  <c r="L165" i="4"/>
  <c r="L173" i="4"/>
  <c r="L184" i="4"/>
  <c r="D171" i="4"/>
  <c r="D188" i="4"/>
  <c r="D180" i="4"/>
  <c r="M169" i="4"/>
  <c r="N169" i="4" s="1" a="1"/>
  <c r="N169" i="4" s="1"/>
  <c r="M186" i="4"/>
  <c r="N186" i="4" s="1" a="1"/>
  <c r="N186" i="4" s="1"/>
  <c r="E169" i="4"/>
  <c r="F169" i="4" s="1"/>
  <c r="L167" i="4"/>
  <c r="E188" i="4"/>
  <c r="F188" i="4" s="1"/>
  <c r="E180" i="4"/>
  <c r="F180" i="4" s="1"/>
  <c r="L186" i="4"/>
  <c r="L172" i="4"/>
  <c r="D170" i="4"/>
  <c r="D187" i="4"/>
  <c r="M168" i="4"/>
  <c r="N168" i="4" s="1" a="1"/>
  <c r="N168" i="4" s="1"/>
  <c r="M185" i="4"/>
  <c r="N185" i="4" s="1" a="1"/>
  <c r="N185" i="4" s="1"/>
  <c r="E168" i="4"/>
  <c r="F168" i="4" s="1"/>
  <c r="L168" i="4"/>
  <c r="E187" i="4"/>
  <c r="F187" i="4" s="1"/>
  <c r="L179" i="4"/>
  <c r="L187" i="4"/>
  <c r="E183" i="4"/>
  <c r="F183" i="4" s="1"/>
  <c r="E182" i="4"/>
  <c r="F182" i="4" s="1"/>
  <c r="D186" i="4"/>
  <c r="M167" i="4"/>
  <c r="N167" i="4" s="1" a="1"/>
  <c r="N167" i="4" s="1"/>
  <c r="M184" i="4"/>
  <c r="N184" i="4" s="1" a="1"/>
  <c r="N184" i="4" s="1"/>
  <c r="E167" i="4"/>
  <c r="F167" i="4" s="1"/>
  <c r="E186" i="4"/>
  <c r="F186" i="4" s="1"/>
  <c r="L180" i="4"/>
  <c r="K174" i="4"/>
  <c r="D98" i="4"/>
  <c r="D217" i="4" s="1"/>
  <c r="D95" i="4"/>
  <c r="D214" i="4" s="1"/>
  <c r="D96" i="4"/>
  <c r="D215" i="4" s="1"/>
  <c r="D199" i="4"/>
  <c r="D73" i="4"/>
  <c r="D201" i="4"/>
  <c r="D197" i="4"/>
  <c r="K88" i="4"/>
  <c r="D102" i="4"/>
  <c r="D221" i="4" s="1"/>
  <c r="D93" i="4"/>
  <c r="D212" i="4" s="1"/>
  <c r="D88" i="4"/>
  <c r="D97" i="4"/>
  <c r="D216" i="4" s="1"/>
  <c r="O196" i="4"/>
  <c r="O206" i="4" s="1"/>
  <c r="D94" i="4"/>
  <c r="D213" i="4" s="1"/>
  <c r="D101" i="4"/>
  <c r="D220" i="4" s="1"/>
  <c r="D100" i="4"/>
  <c r="D219" i="4" s="1"/>
  <c r="D99" i="4"/>
  <c r="D218" i="4" s="1"/>
  <c r="K202" i="4"/>
  <c r="H53" i="4"/>
  <c r="L52" i="4" s="1"/>
  <c r="D55" i="4"/>
  <c r="D56" i="4"/>
  <c r="E63" i="4" s="1"/>
  <c r="F63" i="4" s="1"/>
  <c r="V197" i="4"/>
  <c r="K196" i="4"/>
  <c r="V202" i="4"/>
  <c r="K204" i="4"/>
  <c r="D46" i="1"/>
  <c r="J31" i="5"/>
  <c r="E49" i="1"/>
  <c r="E50" i="1" s="1"/>
  <c r="E51" i="1" s="1"/>
  <c r="G49" i="1"/>
  <c r="G50" i="1" s="1"/>
  <c r="G51" i="1" s="1"/>
  <c r="V205" i="4" s="1"/>
  <c r="I50" i="1"/>
  <c r="C49" i="1"/>
  <c r="C50" i="1" s="1"/>
  <c r="C51" i="1" s="1"/>
  <c r="I44" i="1"/>
  <c r="G44" i="1"/>
  <c r="G45" i="1" s="1"/>
  <c r="G46" i="1" s="1"/>
  <c r="G47" i="1" s="1"/>
  <c r="E44" i="1"/>
  <c r="E45" i="1" s="1"/>
  <c r="E46" i="1" s="1"/>
  <c r="V200" i="4" s="1"/>
  <c r="C43" i="1"/>
  <c r="B3" i="7"/>
  <c r="B4" i="7"/>
  <c r="B5" i="7"/>
  <c r="B6" i="7"/>
  <c r="B7" i="7"/>
  <c r="B8" i="7"/>
  <c r="B10" i="7"/>
  <c r="D20" i="4"/>
  <c r="D25" i="4"/>
  <c r="AQ92" i="15" l="1"/>
  <c r="AR92" i="15" s="1"/>
  <c r="AS92" i="15" s="1"/>
  <c r="AS102" i="15" s="1"/>
  <c r="AF54" i="14"/>
  <c r="AS87" i="15"/>
  <c r="AR87" i="15" s="1"/>
  <c r="K198" i="4"/>
  <c r="I45" i="1"/>
  <c r="J44" i="1"/>
  <c r="H44" i="1"/>
  <c r="K205" i="4"/>
  <c r="I51" i="1"/>
  <c r="J50" i="1"/>
  <c r="H50" i="1"/>
  <c r="V198" i="4"/>
  <c r="V199" i="4"/>
  <c r="D44" i="5"/>
  <c r="J15" i="4"/>
  <c r="D17" i="5" s="1"/>
  <c r="AS110" i="15"/>
  <c r="AS111" i="15"/>
  <c r="G110" i="15"/>
  <c r="Z111" i="15"/>
  <c r="Z110" i="15"/>
  <c r="K7" i="15"/>
  <c r="AY7" i="15"/>
  <c r="AE7" i="15"/>
  <c r="D234" i="4"/>
  <c r="C31" i="12"/>
  <c r="AD7" i="15"/>
  <c r="W22" i="15"/>
  <c r="W23" i="15" s="1"/>
  <c r="W25" i="15" s="1"/>
  <c r="AP22" i="15"/>
  <c r="AP23" i="15" s="1"/>
  <c r="AP25" i="15" s="1"/>
  <c r="AX94" i="15"/>
  <c r="AQ102" i="15"/>
  <c r="X92" i="15"/>
  <c r="Y92" i="15" s="1"/>
  <c r="Z92" i="15" s="1"/>
  <c r="Z72" i="15"/>
  <c r="Y72" i="15" s="1"/>
  <c r="AE94" i="15"/>
  <c r="E96" i="15"/>
  <c r="F96" i="15" s="1"/>
  <c r="G96" i="15" s="1"/>
  <c r="D22" i="15"/>
  <c r="D23" i="15" s="1"/>
  <c r="D25" i="15" s="1"/>
  <c r="L94" i="15"/>
  <c r="E97" i="15"/>
  <c r="F97" i="15" s="1"/>
  <c r="G97" i="15" s="1"/>
  <c r="E100" i="15"/>
  <c r="F100" i="15" s="1"/>
  <c r="G100" i="15" s="1"/>
  <c r="E98" i="15"/>
  <c r="F98" i="15" s="1"/>
  <c r="G98" i="15" s="1"/>
  <c r="E101" i="15"/>
  <c r="F101" i="15" s="1"/>
  <c r="G101" i="15" s="1"/>
  <c r="G72" i="15"/>
  <c r="F72" i="15" s="1"/>
  <c r="E93" i="15"/>
  <c r="F93" i="15" s="1"/>
  <c r="G93" i="15" s="1"/>
  <c r="E94" i="15"/>
  <c r="F94" i="15" s="1"/>
  <c r="G94" i="15" s="1"/>
  <c r="G87" i="15"/>
  <c r="F87" i="15" s="1"/>
  <c r="E92" i="15"/>
  <c r="I232" i="4"/>
  <c r="F105" i="12" s="1"/>
  <c r="P87" i="15"/>
  <c r="O87" i="15" s="1"/>
  <c r="I233" i="4"/>
  <c r="F106" i="12" s="1"/>
  <c r="I231" i="4"/>
  <c r="F104" i="12" s="1"/>
  <c r="D235" i="4"/>
  <c r="D238" i="4" s="1"/>
  <c r="D239" i="4" s="1"/>
  <c r="D241" i="4" s="1"/>
  <c r="D242" i="4" s="1"/>
  <c r="D243" i="4" s="1"/>
  <c r="D39" i="4"/>
  <c r="D174" i="4"/>
  <c r="D189" i="4"/>
  <c r="D206" i="4"/>
  <c r="L220" i="4" s="1"/>
  <c r="L87" i="4"/>
  <c r="O87" i="4" s="1"/>
  <c r="P87" i="4" s="1"/>
  <c r="G187" i="4"/>
  <c r="O183" i="4"/>
  <c r="P183" i="4" s="1"/>
  <c r="O188" i="4"/>
  <c r="P188" i="4" s="1"/>
  <c r="G184" i="4"/>
  <c r="O180" i="4"/>
  <c r="P180" i="4" s="1"/>
  <c r="O185" i="4"/>
  <c r="P185" i="4" s="1"/>
  <c r="G181" i="4"/>
  <c r="G183" i="4"/>
  <c r="O184" i="4"/>
  <c r="P184" i="4" s="1"/>
  <c r="G180" i="4"/>
  <c r="O186" i="4"/>
  <c r="P186" i="4" s="1"/>
  <c r="G182" i="4"/>
  <c r="G186" i="4"/>
  <c r="O182" i="4"/>
  <c r="P182" i="4" s="1"/>
  <c r="O187" i="4"/>
  <c r="P187" i="4" s="1"/>
  <c r="G188" i="4"/>
  <c r="G185" i="4"/>
  <c r="O181" i="4"/>
  <c r="P181" i="4" s="1"/>
  <c r="L68" i="4"/>
  <c r="O68" i="4" s="1"/>
  <c r="P68" i="4" s="1"/>
  <c r="O170" i="4"/>
  <c r="P170" i="4" s="1"/>
  <c r="G166" i="4"/>
  <c r="O165" i="4"/>
  <c r="P165" i="4" s="1"/>
  <c r="G171" i="4"/>
  <c r="O167" i="4"/>
  <c r="P167" i="4" s="1"/>
  <c r="O172" i="4"/>
  <c r="P172" i="4" s="1"/>
  <c r="G168" i="4"/>
  <c r="G170" i="4"/>
  <c r="O166" i="4"/>
  <c r="P166" i="4" s="1"/>
  <c r="O171" i="4"/>
  <c r="P171" i="4" s="1"/>
  <c r="G167" i="4"/>
  <c r="G172" i="4"/>
  <c r="O173" i="4"/>
  <c r="P173" i="4" s="1"/>
  <c r="G169" i="4"/>
  <c r="G173" i="4"/>
  <c r="O169" i="4"/>
  <c r="P169" i="4" s="1"/>
  <c r="G165" i="4"/>
  <c r="O168" i="4"/>
  <c r="P168" i="4" s="1"/>
  <c r="K197" i="4"/>
  <c r="L69" i="4"/>
  <c r="O69" i="4" s="1"/>
  <c r="P69" i="4" s="1"/>
  <c r="E82" i="4"/>
  <c r="F82" i="4" s="1"/>
  <c r="L72" i="4"/>
  <c r="O72" i="4" s="1"/>
  <c r="P72" i="4" s="1"/>
  <c r="L63" i="4"/>
  <c r="O63" i="4" s="1"/>
  <c r="P63" i="4" s="1"/>
  <c r="E197" i="4"/>
  <c r="H197" i="4" s="1"/>
  <c r="I197" i="4" s="1"/>
  <c r="L79" i="4"/>
  <c r="O79" i="4" s="1"/>
  <c r="P79" i="4" s="1"/>
  <c r="E201" i="4"/>
  <c r="H201" i="4" s="1"/>
  <c r="I201" i="4" s="1"/>
  <c r="L66" i="4"/>
  <c r="O66" i="4" s="1"/>
  <c r="P66" i="4" s="1"/>
  <c r="P196" i="4"/>
  <c r="S196" i="4" s="1"/>
  <c r="T196" i="4" s="1"/>
  <c r="E68" i="4"/>
  <c r="F68" i="4" s="1"/>
  <c r="K201" i="4"/>
  <c r="K199" i="4"/>
  <c r="E66" i="4"/>
  <c r="F66" i="4" s="1"/>
  <c r="E204" i="4"/>
  <c r="H204" i="4" s="1"/>
  <c r="I204" i="4" s="1"/>
  <c r="E69" i="4"/>
  <c r="F69" i="4" s="1"/>
  <c r="E196" i="4"/>
  <c r="H196" i="4" s="1"/>
  <c r="I196" i="4" s="1"/>
  <c r="E67" i="4"/>
  <c r="F67" i="4" s="1"/>
  <c r="L83" i="4"/>
  <c r="O83" i="4" s="1"/>
  <c r="P83" i="4" s="1"/>
  <c r="L71" i="4"/>
  <c r="O71" i="4" s="1"/>
  <c r="P71" i="4" s="1"/>
  <c r="E200" i="4"/>
  <c r="H200" i="4" s="1"/>
  <c r="I200" i="4" s="1"/>
  <c r="E79" i="4"/>
  <c r="F79" i="4" s="1"/>
  <c r="E83" i="4"/>
  <c r="F83" i="4" s="1"/>
  <c r="E71" i="4"/>
  <c r="F71" i="4" s="1"/>
  <c r="E202" i="4"/>
  <c r="H202" i="4" s="1"/>
  <c r="I202" i="4" s="1"/>
  <c r="E198" i="4"/>
  <c r="H198" i="4" s="1"/>
  <c r="I198" i="4" s="1"/>
  <c r="P201" i="4"/>
  <c r="S201" i="4" s="1"/>
  <c r="T201" i="4" s="1"/>
  <c r="V196" i="4"/>
  <c r="E85" i="4"/>
  <c r="F85" i="4" s="1"/>
  <c r="E80" i="4"/>
  <c r="F80" i="4" s="1"/>
  <c r="L65" i="4"/>
  <c r="O65" i="4" s="1"/>
  <c r="P65" i="4" s="1"/>
  <c r="L82" i="4"/>
  <c r="O82" i="4" s="1"/>
  <c r="P82" i="4" s="1"/>
  <c r="L86" i="4"/>
  <c r="O86" i="4" s="1"/>
  <c r="P86" i="4" s="1"/>
  <c r="E72" i="4"/>
  <c r="F72" i="4" s="1"/>
  <c r="E203" i="4"/>
  <c r="H203" i="4" s="1"/>
  <c r="I203" i="4" s="1"/>
  <c r="E87" i="4"/>
  <c r="F87" i="4" s="1"/>
  <c r="E65" i="4"/>
  <c r="F65" i="4" s="1"/>
  <c r="L81" i="4"/>
  <c r="O81" i="4" s="1"/>
  <c r="P81" i="4" s="1"/>
  <c r="P198" i="4"/>
  <c r="S198" i="4" s="1"/>
  <c r="T198" i="4" s="1"/>
  <c r="L78" i="4"/>
  <c r="O78" i="4" s="1"/>
  <c r="P78" i="4" s="1"/>
  <c r="E81" i="4"/>
  <c r="F81" i="4" s="1"/>
  <c r="E84" i="4"/>
  <c r="F84" i="4" s="1"/>
  <c r="P205" i="4"/>
  <c r="S205" i="4" s="1"/>
  <c r="T205" i="4" s="1"/>
  <c r="P203" i="4"/>
  <c r="S203" i="4" s="1"/>
  <c r="T203" i="4" s="1"/>
  <c r="P202" i="4"/>
  <c r="S202" i="4" s="1"/>
  <c r="T202" i="4" s="1"/>
  <c r="E86" i="4"/>
  <c r="F86" i="4" s="1"/>
  <c r="L84" i="4"/>
  <c r="O84" i="4" s="1"/>
  <c r="P84" i="4" s="1"/>
  <c r="P199" i="4"/>
  <c r="S199" i="4" s="1"/>
  <c r="T199" i="4" s="1"/>
  <c r="P197" i="4"/>
  <c r="S197" i="4" s="1"/>
  <c r="T197" i="4" s="1"/>
  <c r="P204" i="4"/>
  <c r="S204" i="4" s="1"/>
  <c r="T204" i="4" s="1"/>
  <c r="P200" i="4"/>
  <c r="S200" i="4" s="1"/>
  <c r="T200" i="4" s="1"/>
  <c r="L85" i="4"/>
  <c r="O85" i="4" s="1"/>
  <c r="P85" i="4" s="1"/>
  <c r="E78" i="4"/>
  <c r="F78" i="4" s="1"/>
  <c r="L80" i="4"/>
  <c r="O80" i="4" s="1"/>
  <c r="P80" i="4" s="1"/>
  <c r="D222" i="4"/>
  <c r="L211" i="4" s="1"/>
  <c r="D103" i="4"/>
  <c r="L92" i="4" s="1"/>
  <c r="G63" i="4"/>
  <c r="E64" i="4"/>
  <c r="F64" i="4" s="1"/>
  <c r="E70" i="4"/>
  <c r="F70" i="4" s="1"/>
  <c r="L64" i="4"/>
  <c r="O64" i="4" s="1"/>
  <c r="P64" i="4" s="1"/>
  <c r="L67" i="4"/>
  <c r="O67" i="4" s="1"/>
  <c r="P67" i="4" s="1"/>
  <c r="L70" i="4"/>
  <c r="O70" i="4" s="1"/>
  <c r="P70" i="4" s="1"/>
  <c r="E205" i="4"/>
  <c r="H205" i="4" s="1"/>
  <c r="I205" i="4" s="1"/>
  <c r="E199" i="4"/>
  <c r="H199" i="4" s="1"/>
  <c r="I199" i="4" s="1"/>
  <c r="D23" i="4"/>
  <c r="D24" i="4" s="1"/>
  <c r="D26" i="4" s="1"/>
  <c r="K203" i="4"/>
  <c r="V204" i="4"/>
  <c r="V203" i="4"/>
  <c r="C44" i="1"/>
  <c r="K200" i="4"/>
  <c r="D47" i="1"/>
  <c r="D48" i="1" s="1"/>
  <c r="E47" i="1"/>
  <c r="V201" i="4" s="1"/>
  <c r="AR102" i="15" l="1"/>
  <c r="AX96" i="15" s="1"/>
  <c r="AW8" i="15" s="1"/>
  <c r="J51" i="1"/>
  <c r="H51" i="1"/>
  <c r="I46" i="1"/>
  <c r="J45" i="1"/>
  <c r="H45" i="1"/>
  <c r="G112" i="4"/>
  <c r="N62" i="5" s="1"/>
  <c r="G111" i="4"/>
  <c r="N61" i="5" s="1"/>
  <c r="Q56" i="5"/>
  <c r="G60" i="5"/>
  <c r="O62" i="5"/>
  <c r="O61" i="5"/>
  <c r="W26" i="15"/>
  <c r="AD6" i="15" s="1"/>
  <c r="I60" i="5"/>
  <c r="Q62" i="5"/>
  <c r="Q61" i="5"/>
  <c r="H60" i="5"/>
  <c r="P62" i="5"/>
  <c r="P61" i="5"/>
  <c r="M7" i="15"/>
  <c r="AF7" i="15"/>
  <c r="D26" i="15"/>
  <c r="K6" i="15" s="1"/>
  <c r="AP26" i="15"/>
  <c r="E60" i="5"/>
  <c r="F60" i="5"/>
  <c r="AX93" i="15"/>
  <c r="AX92" i="15"/>
  <c r="X102" i="15"/>
  <c r="F92" i="15"/>
  <c r="E102" i="15"/>
  <c r="L92" i="15" s="1"/>
  <c r="D27" i="4"/>
  <c r="G87" i="4"/>
  <c r="G68" i="4"/>
  <c r="G82" i="4"/>
  <c r="G84" i="4"/>
  <c r="G72" i="4"/>
  <c r="G67" i="4"/>
  <c r="G81" i="4"/>
  <c r="G71" i="4"/>
  <c r="G69" i="4"/>
  <c r="G83" i="4"/>
  <c r="G70" i="4"/>
  <c r="G86" i="4"/>
  <c r="G80" i="4"/>
  <c r="G79" i="4"/>
  <c r="G66" i="4"/>
  <c r="G64" i="4"/>
  <c r="G65" i="4"/>
  <c r="G85" i="4"/>
  <c r="D42" i="4"/>
  <c r="D43" i="4" s="1"/>
  <c r="D45" i="4" s="1"/>
  <c r="D46" i="4" s="1"/>
  <c r="D47" i="4" s="1"/>
  <c r="E174" i="4"/>
  <c r="G164" i="4"/>
  <c r="G174" i="4" s="1"/>
  <c r="G179" i="4"/>
  <c r="G189" i="4" s="1"/>
  <c r="F189" i="4" s="1"/>
  <c r="E189" i="4"/>
  <c r="L189" i="4"/>
  <c r="O179" i="4"/>
  <c r="P179" i="4" s="1"/>
  <c r="P189" i="4" s="1"/>
  <c r="O189" i="4" s="1"/>
  <c r="L174" i="4"/>
  <c r="O164" i="4"/>
  <c r="P164" i="4" s="1"/>
  <c r="P174" i="4" s="1"/>
  <c r="O174" i="4" s="1"/>
  <c r="E88" i="4"/>
  <c r="G78" i="4"/>
  <c r="E93" i="4" s="1"/>
  <c r="F93" i="4" s="1"/>
  <c r="G93" i="4" s="1"/>
  <c r="E220" i="4"/>
  <c r="P88" i="4"/>
  <c r="O88" i="4" s="1"/>
  <c r="L88" i="4"/>
  <c r="E214" i="4"/>
  <c r="F214" i="4" s="1"/>
  <c r="G214" i="4" s="1"/>
  <c r="P73" i="4"/>
  <c r="O73" i="4" s="1"/>
  <c r="L73" i="4"/>
  <c r="E73" i="4"/>
  <c r="E219" i="4"/>
  <c r="E215" i="4"/>
  <c r="F215" i="4" s="1"/>
  <c r="G215" i="4" s="1"/>
  <c r="V206" i="4"/>
  <c r="U206" i="4" s="1"/>
  <c r="D49" i="1"/>
  <c r="C45" i="1"/>
  <c r="E218" i="4"/>
  <c r="E212" i="4"/>
  <c r="F212" i="4" s="1"/>
  <c r="G212" i="4" s="1"/>
  <c r="E216" i="4"/>
  <c r="F216" i="4" s="1"/>
  <c r="G216" i="4" s="1"/>
  <c r="E217" i="4"/>
  <c r="F217" i="4" s="1"/>
  <c r="G217" i="4" s="1"/>
  <c r="T206" i="4"/>
  <c r="S206" i="4" s="1"/>
  <c r="E213" i="4"/>
  <c r="E221" i="4"/>
  <c r="AX97" i="15" l="1"/>
  <c r="AX99" i="15" s="1"/>
  <c r="AP109" i="15"/>
  <c r="J46" i="1"/>
  <c r="I47" i="1"/>
  <c r="H46" i="1"/>
  <c r="F151" i="4"/>
  <c r="G151" i="4" s="1"/>
  <c r="D151" i="4"/>
  <c r="E95" i="12" s="1"/>
  <c r="W27" i="15"/>
  <c r="O56" i="5"/>
  <c r="P56" i="5"/>
  <c r="W28" i="15"/>
  <c r="AE6" i="15" s="1"/>
  <c r="AF6" i="15" s="1"/>
  <c r="P55" i="5" s="1"/>
  <c r="AP28" i="15"/>
  <c r="AX6" i="15" s="1"/>
  <c r="AW6" i="15"/>
  <c r="AW9" i="15" s="1"/>
  <c r="D28" i="15"/>
  <c r="L6" i="15" s="1"/>
  <c r="M6" i="15" s="1"/>
  <c r="O55" i="5" s="1"/>
  <c r="AP27" i="15"/>
  <c r="D27" i="15"/>
  <c r="D135" i="4"/>
  <c r="D136" i="4" s="1"/>
  <c r="D137" i="4" s="1"/>
  <c r="D138" i="4" s="1"/>
  <c r="J8" i="4"/>
  <c r="K8" i="4" s="1"/>
  <c r="J7" i="4"/>
  <c r="AX95" i="15"/>
  <c r="AX53" i="15"/>
  <c r="AE93" i="15"/>
  <c r="AE92" i="15"/>
  <c r="Z102" i="15"/>
  <c r="Y102" i="15"/>
  <c r="AE96" i="15" s="1"/>
  <c r="W109" i="15" s="1"/>
  <c r="L95" i="4"/>
  <c r="F102" i="15"/>
  <c r="L96" i="15" s="1"/>
  <c r="G92" i="15"/>
  <c r="G102" i="15" s="1"/>
  <c r="L93" i="15"/>
  <c r="L95" i="15" s="1"/>
  <c r="D28" i="4"/>
  <c r="F213" i="4"/>
  <c r="G213" i="4" s="1"/>
  <c r="D244" i="4"/>
  <c r="D29" i="4"/>
  <c r="D128" i="4"/>
  <c r="D129" i="4" s="1"/>
  <c r="H31" i="5" s="1"/>
  <c r="E97" i="4"/>
  <c r="F97" i="4" s="1"/>
  <c r="G97" i="4" s="1"/>
  <c r="E95" i="4"/>
  <c r="F95" i="4" s="1"/>
  <c r="G95" i="4" s="1"/>
  <c r="E102" i="4"/>
  <c r="F102" i="4" s="1"/>
  <c r="G102" i="4" s="1"/>
  <c r="E99" i="4"/>
  <c r="F99" i="4" s="1"/>
  <c r="G99" i="4" s="1"/>
  <c r="E96" i="4"/>
  <c r="F96" i="4" s="1"/>
  <c r="G96" i="4" s="1"/>
  <c r="E100" i="4"/>
  <c r="F100" i="4" s="1"/>
  <c r="G100" i="4" s="1"/>
  <c r="E94" i="4"/>
  <c r="F94" i="4" s="1"/>
  <c r="G94" i="4" s="1"/>
  <c r="G73" i="4"/>
  <c r="F73" i="4" s="1"/>
  <c r="E98" i="4"/>
  <c r="F98" i="4" s="1"/>
  <c r="G98" i="4" s="1"/>
  <c r="E101" i="4"/>
  <c r="F101" i="4" s="1"/>
  <c r="G101" i="4" s="1"/>
  <c r="F174" i="4"/>
  <c r="G88" i="4"/>
  <c r="F88" i="4" s="1"/>
  <c r="C46" i="1"/>
  <c r="C47" i="1" s="1"/>
  <c r="D50" i="1"/>
  <c r="F218" i="4"/>
  <c r="G218" i="4" s="1"/>
  <c r="AX98" i="15" l="1"/>
  <c r="AX8" i="15"/>
  <c r="J47" i="1"/>
  <c r="H47" i="1"/>
  <c r="AX9" i="15"/>
  <c r="AW12" i="15" s="1"/>
  <c r="K8" i="15"/>
  <c r="K9" i="15" s="1"/>
  <c r="D109" i="15"/>
  <c r="D139" i="4"/>
  <c r="AY6" i="15"/>
  <c r="Q55" i="5" s="1"/>
  <c r="AY8" i="15"/>
  <c r="M8" i="4"/>
  <c r="N8" i="4" s="1"/>
  <c r="R8" i="4" s="1"/>
  <c r="F10" i="5" s="1"/>
  <c r="L8" i="4"/>
  <c r="M7" i="4"/>
  <c r="K7" i="4"/>
  <c r="L7" i="4"/>
  <c r="AE97" i="15"/>
  <c r="AE99" i="15" s="1"/>
  <c r="AP51" i="15"/>
  <c r="Z59" i="14"/>
  <c r="AD8" i="15"/>
  <c r="AE95" i="15"/>
  <c r="AE53" i="15"/>
  <c r="L53" i="15"/>
  <c r="L97" i="15"/>
  <c r="L8" i="15" s="1"/>
  <c r="D140" i="4"/>
  <c r="F31" i="5"/>
  <c r="D245" i="4"/>
  <c r="D247" i="4" s="1"/>
  <c r="H35" i="5" s="1"/>
  <c r="D130" i="4"/>
  <c r="G103" i="4"/>
  <c r="E103" i="4"/>
  <c r="L93" i="4" s="1"/>
  <c r="F103" i="4"/>
  <c r="L97" i="4" s="1"/>
  <c r="D51" i="1"/>
  <c r="F219" i="4"/>
  <c r="G219" i="4" s="1"/>
  <c r="D132" i="4"/>
  <c r="K31" i="5" s="1"/>
  <c r="O59" i="14" l="1"/>
  <c r="AW13" i="15"/>
  <c r="I58" i="5" s="1"/>
  <c r="AP108" i="15"/>
  <c r="AS109" i="15" s="1"/>
  <c r="AS112" i="15" s="1"/>
  <c r="AW15" i="15"/>
  <c r="Q57" i="5"/>
  <c r="Q58" i="5" s="1"/>
  <c r="L98" i="4"/>
  <c r="D110" i="4"/>
  <c r="AY9" i="15"/>
  <c r="AW17" i="15" s="1"/>
  <c r="O8" i="4"/>
  <c r="S8" i="4" s="1"/>
  <c r="G10" i="5" s="1"/>
  <c r="P8" i="4"/>
  <c r="J9" i="4"/>
  <c r="J10" i="4" s="1"/>
  <c r="D119" i="4"/>
  <c r="D250" i="4"/>
  <c r="K35" i="5" s="1"/>
  <c r="P7" i="4"/>
  <c r="D9" i="5" s="1"/>
  <c r="N55" i="5" s="1"/>
  <c r="N7" i="4"/>
  <c r="O7" i="4"/>
  <c r="S7" i="4" s="1"/>
  <c r="G9" i="5" s="1"/>
  <c r="AW16" i="15"/>
  <c r="I62" i="5" s="1"/>
  <c r="I56" i="5"/>
  <c r="AE8" i="15"/>
  <c r="AE9" i="15" s="1"/>
  <c r="AE98" i="15"/>
  <c r="W51" i="15"/>
  <c r="AD9" i="15"/>
  <c r="M8" i="15"/>
  <c r="L9" i="15"/>
  <c r="K13" i="15" s="1"/>
  <c r="L99" i="15"/>
  <c r="L98" i="15"/>
  <c r="D59" i="14"/>
  <c r="D51" i="15"/>
  <c r="I31" i="5"/>
  <c r="D141" i="4"/>
  <c r="D143" i="4"/>
  <c r="D142" i="4"/>
  <c r="H32" i="5" s="1"/>
  <c r="D246" i="4"/>
  <c r="D248" i="4"/>
  <c r="I35" i="5" s="1"/>
  <c r="L94" i="4"/>
  <c r="L96" i="4" s="1"/>
  <c r="F150" i="4"/>
  <c r="F152" i="4" s="1"/>
  <c r="F220" i="4"/>
  <c r="G220" i="4" s="1"/>
  <c r="K206" i="4"/>
  <c r="L221" i="4" s="1"/>
  <c r="D253" i="4" s="1"/>
  <c r="F65" i="5" s="1"/>
  <c r="AP112" i="15" l="1"/>
  <c r="D10" i="5"/>
  <c r="I63" i="5"/>
  <c r="AW18" i="15"/>
  <c r="I64" i="5" s="1"/>
  <c r="N56" i="5"/>
  <c r="Q60" i="5"/>
  <c r="K9" i="4"/>
  <c r="K10" i="4" s="1"/>
  <c r="L9" i="4"/>
  <c r="L10" i="4" s="1"/>
  <c r="AW11" i="15"/>
  <c r="AP110" i="15" s="1"/>
  <c r="M9" i="4"/>
  <c r="P9" i="4" s="1"/>
  <c r="D11" i="5" s="1"/>
  <c r="D120" i="4"/>
  <c r="F246" i="4"/>
  <c r="F35" i="5"/>
  <c r="R7" i="4"/>
  <c r="F9" i="5" s="1"/>
  <c r="AP111" i="15"/>
  <c r="AW21" i="15" s="1"/>
  <c r="M9" i="15"/>
  <c r="O57" i="5"/>
  <c r="O58" i="5" s="1"/>
  <c r="I61" i="5"/>
  <c r="AD13" i="15"/>
  <c r="H58" i="5" s="1"/>
  <c r="AF8" i="15"/>
  <c r="AD12" i="15"/>
  <c r="AD15" i="15" s="1"/>
  <c r="G58" i="5"/>
  <c r="K12" i="15"/>
  <c r="K15" i="15" s="1"/>
  <c r="D145" i="4"/>
  <c r="D144" i="4"/>
  <c r="F141" i="4"/>
  <c r="F32" i="5"/>
  <c r="D147" i="4"/>
  <c r="K32" i="5" s="1"/>
  <c r="I32" i="5"/>
  <c r="L100" i="4"/>
  <c r="L99" i="4"/>
  <c r="G150" i="4"/>
  <c r="E151" i="4"/>
  <c r="F95" i="12" s="1"/>
  <c r="D150" i="4"/>
  <c r="E94" i="12" s="1"/>
  <c r="L54" i="4"/>
  <c r="E150" i="4" s="1"/>
  <c r="F94" i="12" s="1"/>
  <c r="J206" i="4"/>
  <c r="I206" i="4"/>
  <c r="H206" i="4" s="1"/>
  <c r="G152" i="4" l="1"/>
  <c r="D156" i="4" s="1"/>
  <c r="I33" i="5" s="1"/>
  <c r="K11" i="15"/>
  <c r="G54" i="5" s="1"/>
  <c r="K18" i="15"/>
  <c r="K17" i="15"/>
  <c r="G63" i="5" s="1"/>
  <c r="Q63" i="5"/>
  <c r="M10" i="4"/>
  <c r="M12" i="4" s="1"/>
  <c r="N9" i="4"/>
  <c r="R9" i="4" s="1"/>
  <c r="F11" i="5" s="1"/>
  <c r="O9" i="4"/>
  <c r="S9" i="4" s="1"/>
  <c r="S10" i="4" s="1"/>
  <c r="J14" i="4" s="1"/>
  <c r="D16" i="5" s="1"/>
  <c r="I54" i="5"/>
  <c r="P10" i="4"/>
  <c r="J19" i="4" s="1"/>
  <c r="H56" i="5"/>
  <c r="W108" i="15"/>
  <c r="Z109" i="15" s="1"/>
  <c r="Z112" i="15" s="1"/>
  <c r="AF9" i="15"/>
  <c r="AD17" i="15" s="1"/>
  <c r="P57" i="5"/>
  <c r="P58" i="5" s="1"/>
  <c r="G56" i="5"/>
  <c r="D108" i="15"/>
  <c r="G109" i="15" s="1"/>
  <c r="G112" i="15" s="1"/>
  <c r="H61" i="5"/>
  <c r="AD16" i="15"/>
  <c r="H62" i="5" s="1"/>
  <c r="K16" i="15"/>
  <c r="G62" i="5" s="1"/>
  <c r="G61" i="5"/>
  <c r="N57" i="5"/>
  <c r="J34" i="5"/>
  <c r="J36" i="5" s="1"/>
  <c r="M221" i="4"/>
  <c r="D64" i="12"/>
  <c r="D122" i="4"/>
  <c r="D52" i="4"/>
  <c r="D121" i="4"/>
  <c r="D123" i="4"/>
  <c r="E222" i="4"/>
  <c r="F221" i="4"/>
  <c r="G221" i="4" s="1"/>
  <c r="G222" i="4" s="1"/>
  <c r="D155" i="4" l="1"/>
  <c r="H33" i="5" s="1"/>
  <c r="D153" i="4"/>
  <c r="G11" i="5"/>
  <c r="AD11" i="15"/>
  <c r="H54" i="5" s="1"/>
  <c r="AD18" i="15"/>
  <c r="J18" i="4"/>
  <c r="D112" i="15"/>
  <c r="D111" i="15"/>
  <c r="K21" i="15" s="1"/>
  <c r="W112" i="15"/>
  <c r="O10" i="4"/>
  <c r="N10" i="4"/>
  <c r="R10" i="4"/>
  <c r="J13" i="4" s="1"/>
  <c r="D125" i="4"/>
  <c r="K30" i="5" s="1"/>
  <c r="H30" i="5"/>
  <c r="G64" i="5"/>
  <c r="Q10" i="4"/>
  <c r="J12" i="4"/>
  <c r="Q8" i="4"/>
  <c r="Q7" i="4"/>
  <c r="Q9" i="4"/>
  <c r="H63" i="5"/>
  <c r="W110" i="15"/>
  <c r="W111" i="15"/>
  <c r="AD21" i="15" s="1"/>
  <c r="D110" i="15"/>
  <c r="I30" i="5"/>
  <c r="F30" i="5"/>
  <c r="F33" i="5"/>
  <c r="D154" i="4"/>
  <c r="F222" i="4"/>
  <c r="L214" i="4" s="1"/>
  <c r="L213" i="4"/>
  <c r="L212" i="4"/>
  <c r="D158" i="4" l="1"/>
  <c r="K33" i="5" s="1"/>
  <c r="D15" i="5"/>
  <c r="J17" i="4"/>
  <c r="D19" i="5" s="1"/>
  <c r="J16" i="4"/>
  <c r="D18" i="5" s="1"/>
  <c r="P60" i="5"/>
  <c r="P63" i="5" s="1"/>
  <c r="O60" i="5"/>
  <c r="O63" i="5" s="1"/>
  <c r="W113" i="15"/>
  <c r="W114" i="15" s="1"/>
  <c r="AD22" i="15" s="1"/>
  <c r="H67" i="5" s="1"/>
  <c r="D113" i="15"/>
  <c r="D114" i="15" s="1"/>
  <c r="K22" i="15" s="1"/>
  <c r="G67" i="5" s="1"/>
  <c r="D109" i="4"/>
  <c r="G110" i="4" s="1"/>
  <c r="AP113" i="15"/>
  <c r="AP114" i="15" s="1"/>
  <c r="AW22" i="15" s="1"/>
  <c r="I67" i="5" s="1"/>
  <c r="D21" i="5"/>
  <c r="D20" i="5"/>
  <c r="D14" i="5"/>
  <c r="G35" i="5" s="1"/>
  <c r="H64" i="5"/>
  <c r="L215" i="4"/>
  <c r="L216" i="4" s="1"/>
  <c r="L222" i="4" s="1"/>
  <c r="D260" i="4" s="1"/>
  <c r="D262" i="4" s="1"/>
  <c r="N58" i="5"/>
  <c r="D111" i="4" l="1"/>
  <c r="D113" i="4"/>
  <c r="AP115" i="15"/>
  <c r="AW23" i="15" s="1"/>
  <c r="I68" i="5" s="1"/>
  <c r="D115" i="15"/>
  <c r="K23" i="15" s="1"/>
  <c r="G68" i="5" s="1"/>
  <c r="W115" i="15"/>
  <c r="AD23" i="15" s="1"/>
  <c r="H68" i="5" s="1"/>
  <c r="N60" i="5"/>
  <c r="N63" i="5" s="1"/>
  <c r="G113" i="4"/>
  <c r="D112" i="4"/>
  <c r="J22" i="4" s="1"/>
  <c r="H34" i="5"/>
  <c r="H36" i="5" s="1"/>
  <c r="K36" i="5" s="1"/>
  <c r="F68" i="5"/>
  <c r="D12" i="5"/>
  <c r="L224" i="4"/>
  <c r="L223" i="4"/>
  <c r="K34" i="5" s="1"/>
  <c r="L217" i="4"/>
  <c r="L226" i="4" s="1"/>
  <c r="E54" i="5" l="1"/>
  <c r="I55" i="5" s="1"/>
  <c r="G31" i="5"/>
  <c r="E9" i="5"/>
  <c r="E63" i="5" s="1"/>
  <c r="I34" i="5"/>
  <c r="I36" i="5" s="1"/>
  <c r="G33" i="5"/>
  <c r="G30" i="5"/>
  <c r="G32" i="5"/>
  <c r="E11" i="5"/>
  <c r="E10" i="5"/>
  <c r="E12" i="5"/>
  <c r="L225" i="4"/>
  <c r="F34" i="5"/>
  <c r="F12" i="5"/>
  <c r="G12" i="5"/>
  <c r="E58" i="5" s="1"/>
  <c r="G34" i="5" l="1"/>
  <c r="E55" i="5"/>
  <c r="G55" i="5"/>
  <c r="H55" i="5"/>
  <c r="E59" i="5"/>
  <c r="I59" i="5"/>
  <c r="H59" i="5"/>
  <c r="G59" i="5"/>
  <c r="D43" i="5"/>
  <c r="F58" i="5" s="1"/>
  <c r="F59" i="5" s="1"/>
  <c r="E64" i="5"/>
  <c r="F36" i="5"/>
  <c r="D41" i="5" l="1"/>
  <c r="E56" i="5"/>
  <c r="E57" i="5" s="1"/>
  <c r="D42" i="5"/>
  <c r="F56" i="5" s="1"/>
  <c r="G36" i="5"/>
  <c r="E61" i="5"/>
  <c r="D48" i="5" l="1"/>
  <c r="D47" i="5"/>
  <c r="F63" i="5" s="1"/>
  <c r="F54" i="5"/>
  <c r="F55" i="5" s="1"/>
  <c r="F57" i="5"/>
  <c r="G57" i="5"/>
  <c r="H57" i="5"/>
  <c r="I57" i="5"/>
  <c r="E62" i="5"/>
  <c r="D46" i="5"/>
  <c r="D45" i="5"/>
  <c r="F61" i="5" s="1"/>
  <c r="F64" i="5" l="1"/>
  <c r="F62" i="5"/>
  <c r="I31" i="20"/>
  <c r="E31"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garciafra</author>
  </authors>
  <commentList>
    <comment ref="D9" authorId="0" shapeId="0" xr:uid="{82ECCB05-BE49-4AB6-A031-0D6FA98578E7}">
      <text>
        <r>
          <rPr>
            <b/>
            <sz val="9"/>
            <color indexed="81"/>
            <rFont val="Tahoma"/>
            <family val="2"/>
          </rPr>
          <t>garciafra:</t>
        </r>
        <r>
          <rPr>
            <sz val="9"/>
            <color indexed="81"/>
            <rFont val="Tahoma"/>
            <family val="2"/>
          </rPr>
          <t xml:space="preserve">
Per estimar el rendiment es pot fer servir la pestanya "Rendiment Generador"
CALDERA
rendiment estacional caldera nova (primers 5 anys):
GN condensacio...90-97%
GN estanca.........85-90%
GN atmosfèrica....80-85%
BM biomassa........85%
a partir del 5è any aplicar una reducció o coef d'envelliment (CE). Per exemple: reduir 0,5% per any d'antiguitat a partir del 5è any (envelliment=(edat-5)x(-0,5%) si edat&gt;5anys?
ELECTRIC
efecte Joule .............................. 99%
bomba calor HT aerotèrmica ........ utilitzar el SCOPdhw (250-350%)
bomba calor HT geotèrmica ......... utilitzar el SCOPdhw (300-400%)
</t>
        </r>
      </text>
    </comment>
    <comment ref="B10" authorId="0" shapeId="0" xr:uid="{55F085C1-0F1F-4679-B328-900E54B3E148}">
      <text>
        <r>
          <rPr>
            <b/>
            <sz val="9"/>
            <color indexed="81"/>
            <rFont val="Tahoma"/>
            <family val="2"/>
          </rPr>
          <t>garciafra:</t>
        </r>
        <r>
          <rPr>
            <sz val="9"/>
            <color indexed="81"/>
            <rFont val="Tahoma"/>
            <family val="2"/>
          </rPr>
          <t xml:space="preserve">
indicar la potència elèctrica del cremador, el ventilador d'aire de combustió i la bomba circuladora del primari</t>
        </r>
      </text>
    </comment>
    <comment ref="C18" authorId="0" shapeId="0" xr:uid="{9E4B1982-48A8-4B72-B1EE-A6242CBD74CA}">
      <text>
        <r>
          <rPr>
            <b/>
            <sz val="9"/>
            <color indexed="81"/>
            <rFont val="Tahoma"/>
            <family val="2"/>
          </rPr>
          <t>garciafra:</t>
        </r>
        <r>
          <rPr>
            <sz val="9"/>
            <color indexed="81"/>
            <rFont val="Tahoma"/>
            <family val="2"/>
          </rPr>
          <t xml:space="preserve">
segons taula C de l'Annex F del CTE HE 4</t>
        </r>
      </text>
    </comment>
    <comment ref="C19" authorId="0" shapeId="0" xr:uid="{C86F14BB-ECCD-4AAB-8BF0-542D221E8D87}">
      <text>
        <r>
          <rPr>
            <b/>
            <sz val="9"/>
            <color indexed="81"/>
            <rFont val="Tahoma"/>
            <family val="2"/>
          </rPr>
          <t>garciafra:</t>
        </r>
        <r>
          <rPr>
            <sz val="9"/>
            <color indexed="81"/>
            <rFont val="Tahoma"/>
            <family val="2"/>
          </rPr>
          <t xml:space="preserve">
coeficient per modificar la demanda de forma proporcional</t>
        </r>
      </text>
    </comment>
    <comment ref="C21" authorId="0" shapeId="0" xr:uid="{7988CA8F-E593-42B0-95CD-E59B75BAD822}">
      <text>
        <r>
          <rPr>
            <b/>
            <sz val="9"/>
            <color indexed="81"/>
            <rFont val="Tahoma"/>
            <family val="2"/>
          </rPr>
          <t>garciafra:</t>
        </r>
        <r>
          <rPr>
            <sz val="9"/>
            <color indexed="81"/>
            <rFont val="Tahoma"/>
            <family val="2"/>
          </rPr>
          <t xml:space="preserve">
la temperatura associada als llitres/dia inidcats. Segons CTE és 60ºC.</t>
        </r>
      </text>
    </comment>
    <comment ref="C22" authorId="0" shapeId="0" xr:uid="{AEA43FD0-6137-4E64-8DEC-EC11E5500639}">
      <text>
        <r>
          <rPr>
            <b/>
            <sz val="9"/>
            <color indexed="81"/>
            <rFont val="Tahoma"/>
            <family val="2"/>
          </rPr>
          <t>garciafra:</t>
        </r>
        <r>
          <rPr>
            <sz val="9"/>
            <color indexed="81"/>
            <rFont val="Tahoma"/>
            <family val="2"/>
          </rPr>
          <t xml:space="preserve">
indicar mitjana anual
si no es coneix prendre 15ºC per Catalunya</t>
        </r>
      </text>
    </comment>
    <comment ref="D38" authorId="0" shapeId="0" xr:uid="{E07B39FB-DA5B-4F3A-9214-1990B2BB4911}">
      <text>
        <r>
          <rPr>
            <b/>
            <sz val="9"/>
            <color indexed="81"/>
            <rFont val="Tahoma"/>
            <family val="2"/>
          </rPr>
          <t>garciafra:</t>
        </r>
        <r>
          <rPr>
            <sz val="9"/>
            <color indexed="81"/>
            <rFont val="Tahoma"/>
            <family val="2"/>
          </rPr>
          <t xml:space="preserve">
si no es coneix agafar la temperatura de:
ACS: consigna de l'acumulador ACS
calefacció sense dipòsit inèrcia (DI): consigna caldera
calefacció amb DI: consigna DI
com a mesura d'estalvi ajustar la temperatura de dipòsit i d'impulsió als mínims normatius(T dipo=60ºC i TrecirACS&gt;50ºC)  o segons necessitats (p.e. demandes punta superior al volum acumulat)</t>
        </r>
      </text>
    </comment>
    <comment ref="D62" authorId="0" shapeId="0" xr:uid="{69633747-EA56-4DAC-AED3-A8304C1614DB}">
      <text>
        <r>
          <rPr>
            <b/>
            <sz val="9"/>
            <color indexed="81"/>
            <rFont val="Tahoma"/>
            <family val="2"/>
          </rPr>
          <t>garciafra:</t>
        </r>
        <r>
          <rPr>
            <sz val="9"/>
            <color indexed="81"/>
            <rFont val="Tahoma"/>
            <family val="2"/>
          </rPr>
          <t xml:space="preserve">
L'objectiu és minimtzar la potènica de la bomba, però sempre assegurant que la T de recirculació de l'ACS retorna a sala per sobre de 50ºC. Agafarem com a llindar de seguretat T recir=55ºC. Es faran les proves a l'hivern amb registres de 24h.
Procediment:
1) ajustar consigna dipòsit a T dipo=60ºC (a menys que hi hagi demandes punta a 60ºC superiors al volum acumulat)
2) ajustar velocitat bomba a mínim i valorar:
3) Si T recir &lt; 55ºC: incrementar velocitat de la bomba fins assolir T recir=55. Si no es pot, incrementar T dipo i tornar a començar a velocitat mínima
4) Si T recir &gt; 55ºC, valorar:
      cas 1:  T dipo &gt; 60ºC (per necessitats de demanda):  si tenim vàlvula mescaldora 3 vies reduir T imp fins Trecir=55ºC.
      cas 2: T dipo = 60ºC: si tenim vàlvula mescaldora 3 vies reduir T imp fins Tret=55ºC, sino, reduir cabal recirculació amb vàlvula de regulació si n'hi ha fins Tret=55, sino es pot plantejar canviar la bomba per una de menys cabal i regulació electrònica amb consigna de tmeperatura o afegir termostat de control de la bomba.</t>
        </r>
      </text>
    </comment>
    <comment ref="D63" authorId="0" shapeId="0" xr:uid="{46A03EE0-2922-412F-AA06-649DAAA08C8E}">
      <text>
        <r>
          <rPr>
            <b/>
            <sz val="9"/>
            <color indexed="81"/>
            <rFont val="Tahoma"/>
            <family val="2"/>
          </rPr>
          <t>garciafra:</t>
        </r>
        <r>
          <rPr>
            <sz val="9"/>
            <color indexed="81"/>
            <rFont val="Tahoma"/>
            <family val="2"/>
          </rPr>
          <t xml:space="preserve">
Cal disposar de cabalímetre o bé la mesura de pressió diferencial i treure el cabal amb la corba pressió-cabal de la bomba.
Si no tenim el valor, indicar 0</t>
        </r>
      </text>
    </comment>
    <comment ref="D64" authorId="0" shapeId="0" xr:uid="{A35FE542-5E9E-4E73-A0FE-27D3E8EFA0EC}">
      <text>
        <r>
          <rPr>
            <b/>
            <sz val="9"/>
            <color indexed="81"/>
            <rFont val="Tahoma"/>
            <family val="2"/>
          </rPr>
          <t>garciafra:</t>
        </r>
        <r>
          <rPr>
            <sz val="9"/>
            <color indexed="81"/>
            <rFont val="Tahoma"/>
            <family val="2"/>
          </rPr>
          <t xml:space="preserve">
segons el cabal i les pèrdues de la xarxa que es defineixen, s'estima la temperatura de retorn teòrica. 
Aspa vermella: T retorn &lt; 50ºC, pot ser degut a un cabal massa baix i/o a una xarxa mal aïllada
Tic verd:         T retorn ≥ 50ºC 
Es pot fer servir la eina "Cerca Objectiu" per definir la Temp. d'impulsió mínima que garanteix que aquesta temp de retorn teòrica és igual al mínim necessari: T retorn ≥ 50ºC 
Així es pot reprogramar la T impulsió a la vàlvula mescladora d'ACS general de sala tècnica. Sempre comprovar a posteriori amb mesures de temperatura real durant almenys 24h.
</t>
        </r>
      </text>
    </comment>
    <comment ref="F95" authorId="0" shapeId="0" xr:uid="{56959639-6060-4F42-B72C-463DD3D8835A}">
      <text>
        <r>
          <rPr>
            <b/>
            <sz val="9"/>
            <color indexed="81"/>
            <rFont val="Tahoma"/>
            <family val="2"/>
          </rPr>
          <t>garciafra:</t>
        </r>
        <r>
          <rPr>
            <sz val="9"/>
            <color indexed="81"/>
            <rFont val="Tahoma"/>
            <family val="2"/>
          </rPr>
          <t xml:space="preserve">
segons el cabal i les pèrdues de la xarxa que es defineixen, es calcula la temperatura de retorn teòrica. 
Es pot fer servir la eina "Cerca Objectiu" per definir la Temp. d'impulsió mínima que garanteix que la aquesta temp de retorn teòrica és igual al mínim necessari:
recirculació ACS &gt; 50ºC 
Així es pot reprogramar la T impulsió a la vàlvula mescladora d'ACS general de sala tècnica. Sempre comprovar a posteriori amb mesures de temperatura real durant almenys 24h.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garciafra</author>
  </authors>
  <commentList>
    <comment ref="B9" authorId="0" shapeId="0" xr:uid="{12FA2450-00ED-4B36-9B8E-F376FB7D0DA8}">
      <text>
        <r>
          <rPr>
            <b/>
            <sz val="9"/>
            <color indexed="81"/>
            <rFont val="Tahoma"/>
            <family val="2"/>
          </rPr>
          <t>garciafra:</t>
        </r>
        <r>
          <rPr>
            <sz val="9"/>
            <color indexed="81"/>
            <rFont val="Tahoma"/>
            <family val="2"/>
          </rPr>
          <t xml:space="preserve">
indicar la potència elèctrica del cremador, el ventilador d'aire de combustió i la bomba circuladora del primari</t>
        </r>
      </text>
    </comment>
    <comment ref="M9" authorId="0" shapeId="0" xr:uid="{CB3B524D-B989-4947-8630-DF3CA9FA99B2}">
      <text>
        <r>
          <rPr>
            <b/>
            <sz val="9"/>
            <color indexed="81"/>
            <rFont val="Tahoma"/>
            <family val="2"/>
          </rPr>
          <t>garciafra:</t>
        </r>
        <r>
          <rPr>
            <sz val="9"/>
            <color indexed="81"/>
            <rFont val="Tahoma"/>
            <family val="2"/>
          </rPr>
          <t xml:space="preserve">
indicar la potència elèctrica del cremador, el ventilador d'aire de combustió i la bomba circuladora del primari</t>
        </r>
      </text>
    </comment>
    <comment ref="X9" authorId="0" shapeId="0" xr:uid="{467E79EE-E225-49E1-8D93-9C684EA637AB}">
      <text>
        <r>
          <rPr>
            <b/>
            <sz val="9"/>
            <color indexed="81"/>
            <rFont val="Tahoma"/>
            <family val="2"/>
          </rPr>
          <t>garciafra:</t>
        </r>
        <r>
          <rPr>
            <sz val="9"/>
            <color indexed="81"/>
            <rFont val="Tahoma"/>
            <family val="2"/>
          </rPr>
          <t xml:space="preserve">
indicar la potència elèctrica del cremador, el ventilador d'aire de combustió i la bomba circuladora del primari</t>
        </r>
      </text>
    </comment>
    <comment ref="D15" authorId="0" shapeId="0" xr:uid="{02A93FAB-31D7-47A8-AB6A-0E641346019F}">
      <text>
        <r>
          <rPr>
            <b/>
            <sz val="9"/>
            <color indexed="81"/>
            <rFont val="Tahoma"/>
            <family val="2"/>
          </rPr>
          <t>garciafra:</t>
        </r>
        <r>
          <rPr>
            <sz val="9"/>
            <color indexed="81"/>
            <rFont val="Tahoma"/>
            <family val="2"/>
          </rPr>
          <t xml:space="preserve">
coeficient per modificar la demanda de forma proporcional</t>
        </r>
      </text>
    </comment>
    <comment ref="O15" authorId="0" shapeId="0" xr:uid="{A280087C-2D2E-4D98-8E16-2E8FCC3CBADC}">
      <text>
        <r>
          <rPr>
            <b/>
            <sz val="9"/>
            <color indexed="81"/>
            <rFont val="Tahoma"/>
            <family val="2"/>
          </rPr>
          <t>garciafra:</t>
        </r>
        <r>
          <rPr>
            <sz val="9"/>
            <color indexed="81"/>
            <rFont val="Tahoma"/>
            <family val="2"/>
          </rPr>
          <t xml:space="preserve">
coeficient per modificar la demanda de forma proporcional</t>
        </r>
      </text>
    </comment>
    <comment ref="Z15" authorId="0" shapeId="0" xr:uid="{E2113E17-F477-4AF8-8EA4-2A3EA3B03BC3}">
      <text>
        <r>
          <rPr>
            <b/>
            <sz val="9"/>
            <color indexed="81"/>
            <rFont val="Tahoma"/>
            <family val="2"/>
          </rPr>
          <t>garciafra:</t>
        </r>
        <r>
          <rPr>
            <sz val="9"/>
            <color indexed="81"/>
            <rFont val="Tahoma"/>
            <family val="2"/>
          </rPr>
          <t xml:space="preserve">
coeficient per modificar la demanda de forma proporcional</t>
        </r>
      </text>
    </comment>
    <comment ref="D32" authorId="0" shapeId="0" xr:uid="{430154D4-5CAB-4F86-AB81-9E842FB57C52}">
      <text>
        <r>
          <rPr>
            <b/>
            <sz val="9"/>
            <color indexed="81"/>
            <rFont val="Tahoma"/>
            <family val="2"/>
          </rPr>
          <t>garciafra:</t>
        </r>
        <r>
          <rPr>
            <sz val="9"/>
            <color indexed="81"/>
            <rFont val="Tahoma"/>
            <family val="2"/>
          </rPr>
          <t xml:space="preserve">
si no es coneix agafar la temperatura de:
ACS: consigna de l'acumulador ACS
calefacció sense dipòsit inèrcia (DI): consigna caldera
calefacció amb DI: consigna DI
com a mesura d'estalvi ajustar la temperatura de dipòsit i d'impulsió als mínims normatius(T dipo=60ºC i TrecirACS&gt;50ºC)  o segons necessitats (p.e. demandes punta superior al volum acumulat)</t>
        </r>
      </text>
    </comment>
    <comment ref="O32" authorId="0" shapeId="0" xr:uid="{4F7EBBD4-CB12-4BF5-B8BE-84FE7BB61DE7}">
      <text>
        <r>
          <rPr>
            <b/>
            <sz val="9"/>
            <color indexed="81"/>
            <rFont val="Tahoma"/>
            <family val="2"/>
          </rPr>
          <t>garciafra:</t>
        </r>
        <r>
          <rPr>
            <sz val="9"/>
            <color indexed="81"/>
            <rFont val="Tahoma"/>
            <family val="2"/>
          </rPr>
          <t xml:space="preserve">
si no es coneix agafar la temperatura de:
ACS: consigna de l'acumulador ACS
calefacció sense dipòsit inèrcia (DI): consigna caldera
calefacció amb DI: consigna DI
com a mesura d'estalvi ajustar la temperatura de dipòsit i d'impulsió als mínims normatius(T dipo=60ºC i TrecirACS&gt;50ºC)  o segons necessitats (p.e. demandes punta superior al volum acumulat)</t>
        </r>
      </text>
    </comment>
    <comment ref="Z32" authorId="0" shapeId="0" xr:uid="{F16496B0-530E-4F3B-A68D-A0A8FB951ECC}">
      <text>
        <r>
          <rPr>
            <b/>
            <sz val="9"/>
            <color indexed="81"/>
            <rFont val="Tahoma"/>
            <family val="2"/>
          </rPr>
          <t>garciafra:</t>
        </r>
        <r>
          <rPr>
            <sz val="9"/>
            <color indexed="81"/>
            <rFont val="Tahoma"/>
            <family val="2"/>
          </rPr>
          <t xml:space="preserve">
si no es coneix agafar la temperatura de:
ACS: consigna de l'acumulador ACS
calefacció sense dipòsit inèrcia (DI): consigna caldera
calefacció amb DI: consigna DI
com a mesura d'estalvi ajustar la temperatura de dipòsit i d'impulsió als mínims normatius(T dipo=60ºC i TrecirACS&gt;50ºC)  o segons necessitats (p.e. demandes punta superior al volum acumulat)</t>
        </r>
      </text>
    </comment>
    <comment ref="D57" authorId="0" shapeId="0" xr:uid="{04367BC9-B6AD-4435-8261-FAA018C8358B}">
      <text>
        <r>
          <rPr>
            <b/>
            <sz val="9"/>
            <color indexed="81"/>
            <rFont val="Tahoma"/>
            <family val="2"/>
          </rPr>
          <t>garciafra:</t>
        </r>
        <r>
          <rPr>
            <sz val="9"/>
            <color indexed="81"/>
            <rFont val="Tahoma"/>
            <family val="2"/>
          </rPr>
          <t xml:space="preserve">
L'objectiu és minimtzar la potènica de la bomba, però sempre assegurant que la T de recirculació de l'ACS retorna a sala per sobre de 50ºC. Agafarem com a llindar de seguretat T recir=55ºC. Es faran les proves a l'hivern amb registres de 24h.
Procediment:
1) ajustar consigna dipòsit a T dipo=60ºC (a menys que hi hagi demandes punta a 60ºC superiors al volum acumulat)
2) ajustar velocitat bomba a mínim i valorar:
3) Si T recir &lt; 55ºC: incrementar velocitat de la bomba fins assolir T recir=55. Si no es pot, incrementar T dipo i tornar a començar a velocitat mínima
4) Si T recir &gt; 55ºC, valorar:
      cas 1:  T dipo &gt; 60ºC (per necessitats de demanda):  si tenim vàlvula mescaldora 3 vies reduir T imp fins Trecir=55ºC.
      cas 2: T dipo = 60ºC: si tenim vàlvula mescaldora 3 vies reduir T imp fins Tret=55ºC, sino, reduir cabal recirculació amb vàlvula de regulació si n'hi ha fins Tret=55, sino es pot plantejar canviar la bomba per una de menys cabal i regulació electrònica amb consigna de tmeperatura o afegir termostat de control de la bomba.</t>
        </r>
      </text>
    </comment>
    <comment ref="O57" authorId="0" shapeId="0" xr:uid="{762B18BC-A0CB-4406-97E4-04D39475D2FE}">
      <text>
        <r>
          <rPr>
            <b/>
            <sz val="9"/>
            <color indexed="81"/>
            <rFont val="Tahoma"/>
            <family val="2"/>
          </rPr>
          <t>garciafra:</t>
        </r>
        <r>
          <rPr>
            <sz val="9"/>
            <color indexed="81"/>
            <rFont val="Tahoma"/>
            <family val="2"/>
          </rPr>
          <t xml:space="preserve">
L'objectiu és minimtzar la potènica de la bomba, però sempre assegurant que la T de recirculació de l'ACS retorna a sala per sobre de 50ºC. Agafarem com a llindar de seguretat T recir=55ºC. Es faran les proves a l'hivern amb registres de 24h.
Procediment:
1) ajustar consigna dipòsit a T dipo=60ºC (a menys que hi hagi demandes punta a 60ºC superiors al volum acumulat)
2) ajustar velocitat bomba a mínim i valorar:
3) Si T recir &lt; 55ºC: incrementar velocitat de la bomba fins assolir T recir=55. Si no es pot, incrementar T dipo i tornar a començar a velocitat mínima
4) Si T recir &gt; 55ºC, valorar:
      cas 1:  T dipo &gt; 60ºC (per necessitats de demanda):  si tenim vàlvula mescaldora 3 vies reduir T imp fins Trecir=55ºC.
      cas 2: T dipo = 60ºC: si tenim vàlvula mescaldora 3 vies reduir T imp fins Tret=55ºC, sino, reduir cabal recirculació amb vàlvula de regulació si n'hi ha fins Tret=55, sino es pot plantejar canviar la bomba per una de menys cabal i regulació electrònica amb consigna de tmeperatura o afegir termostat de control de la bomba.</t>
        </r>
      </text>
    </comment>
    <comment ref="Z57" authorId="0" shapeId="0" xr:uid="{D5A0C60D-D37D-44EB-BEE2-A115CA1AD905}">
      <text>
        <r>
          <rPr>
            <b/>
            <sz val="9"/>
            <color indexed="81"/>
            <rFont val="Tahoma"/>
            <family val="2"/>
          </rPr>
          <t>garciafra:</t>
        </r>
        <r>
          <rPr>
            <sz val="9"/>
            <color indexed="81"/>
            <rFont val="Tahoma"/>
            <family val="2"/>
          </rPr>
          <t xml:space="preserve">
L'objectiu és minimtzar la potènica de la bomba, però sempre assegurant que la T de recirculació de l'ACS retorna a sala per sobre de 50ºC. Agafarem com a llindar de seguretat T recir=55ºC. Es faran les proves a l'hivern amb registres de 24h.
Procediment:
1) ajustar consigna dipòsit a T dipo=60ºC (a menys que hi hagi demandes punta a 60ºC superiors al volum acumulat)
2) ajustar velocitat bomba a mínim i valorar:
3) Si T recir &lt; 55ºC: incrementar velocitat de la bomba fins assolir T recir=55. Si no es pot, incrementar T dipo i tornar a començar a velocitat mínima
4) Si T recir &gt; 55ºC, valorar:
      cas 1:  T dipo &gt; 60ºC (per necessitats de demanda):  si tenim vàlvula mescaldora 3 vies reduir T imp fins Trecir=55ºC.
      cas 2: T dipo = 60ºC: si tenim vàlvula mescaldora 3 vies reduir T imp fins Tret=55ºC, sino, reduir cabal recirculació amb vàlvula de regulació si n'hi ha fins Tret=55, sino es pot plantejar canviar la bomba per una de menys cabal i regulació electrònica amb consigna de tmeperatura o afegir termostat de control de la bomba.</t>
        </r>
      </text>
    </comment>
    <comment ref="D58" authorId="0" shapeId="0" xr:uid="{1869BCFE-E722-4BC5-AF44-EE87BAFC3681}">
      <text>
        <r>
          <rPr>
            <b/>
            <sz val="9"/>
            <color indexed="81"/>
            <rFont val="Tahoma"/>
            <family val="2"/>
          </rPr>
          <t>garciafra:</t>
        </r>
        <r>
          <rPr>
            <sz val="9"/>
            <color indexed="81"/>
            <rFont val="Tahoma"/>
            <family val="2"/>
          </rPr>
          <t xml:space="preserve">
Cal disposar de cabalímetre o bé la mesura de pressió diferencial i treure el cabal amb la corba pressió-cabal de la bomba.
Si no tenim el valor, indicar 0</t>
        </r>
      </text>
    </comment>
    <comment ref="O58" authorId="0" shapeId="0" xr:uid="{151BEC8B-0E55-42ED-AAAB-0117966B13AF}">
      <text>
        <r>
          <rPr>
            <b/>
            <sz val="9"/>
            <color indexed="81"/>
            <rFont val="Tahoma"/>
            <family val="2"/>
          </rPr>
          <t>garciafra:</t>
        </r>
        <r>
          <rPr>
            <sz val="9"/>
            <color indexed="81"/>
            <rFont val="Tahoma"/>
            <family val="2"/>
          </rPr>
          <t xml:space="preserve">
Cal disposar de cabalímetre o bé la mesura de pressió diferencial i treure el cabal amb la corba pressió-cabal de la bomba.
Si no tenim el valor, indicar 0</t>
        </r>
      </text>
    </comment>
    <comment ref="Z58" authorId="0" shapeId="0" xr:uid="{225697CE-8582-46E2-A190-3981327AEA7A}">
      <text>
        <r>
          <rPr>
            <b/>
            <sz val="9"/>
            <color indexed="81"/>
            <rFont val="Tahoma"/>
            <family val="2"/>
          </rPr>
          <t>garciafra:</t>
        </r>
        <r>
          <rPr>
            <sz val="9"/>
            <color indexed="81"/>
            <rFont val="Tahoma"/>
            <family val="2"/>
          </rPr>
          <t xml:space="preserve">
Cal disposar de cabalímetre o bé la mesura de pressió diferencial i treure el cabal amb la corba pressió-cabal de la bomba.
Si no tenim el valor, indicar 0</t>
        </r>
      </text>
    </comment>
    <comment ref="D59" authorId="0" shapeId="0" xr:uid="{ADA8941E-F56D-4C55-AED2-6CE1A98976BB}">
      <text>
        <r>
          <rPr>
            <b/>
            <sz val="9"/>
            <color indexed="81"/>
            <rFont val="Tahoma"/>
            <family val="2"/>
          </rPr>
          <t>garciafra:</t>
        </r>
        <r>
          <rPr>
            <sz val="9"/>
            <color indexed="81"/>
            <rFont val="Tahoma"/>
            <family val="2"/>
          </rPr>
          <t xml:space="preserve">
segons el cabal i les pèrdues de la xarxa que es defineixen, s'estima la temperatura de retorn teòrica. 
Aspa vermella: T retorn &lt; 50ºC, pot ser degut a un cabal massa baix i/o a una xarxa mal aïllada
Tic verd:         T retorn ≥ 50ºC 
Es pot fer servir la eina "Cerca Objectiu" per definir la Temp. d'impulsió mínima que garanteix que aquesta temp de retorn teòrica és igual al mínim necessari: T retorn ≥ 50ºC 
Així es pot reprogramar la T impulsió a la vàlvula mescladora d'ACS general de sala tècnica. Sempre comprovar a posteriori amb mesures de temperatura real durant almenys 24h.
</t>
        </r>
      </text>
    </comment>
    <comment ref="O59" authorId="0" shapeId="0" xr:uid="{87A29B30-51B9-44B7-917B-406F70FF3EFF}">
      <text>
        <r>
          <rPr>
            <b/>
            <sz val="9"/>
            <color indexed="81"/>
            <rFont val="Tahoma"/>
            <family val="2"/>
          </rPr>
          <t>garciafra:</t>
        </r>
        <r>
          <rPr>
            <sz val="9"/>
            <color indexed="81"/>
            <rFont val="Tahoma"/>
            <family val="2"/>
          </rPr>
          <t xml:space="preserve">
segons el cabal i les pèrdues de la xarxa que es defineixen, s'estima la temperatura de retorn teòrica. 
Aspa vermella: T retorn &lt; 50ºC, pot ser degut a un cabal massa baix i/o a una xarxa mal aïllada
Tic verd:         T retorn ≥ 50ºC 
Es pot fer servir la eina "Cerca Objectiu" per definir la Temp. d'impulsió mínima que garanteix que aquesta temp de retorn teòrica és igual al mínim necessari: T retorn ≥ 50ºC 
Així es pot reprogramar la T impulsió a la vàlvula mescladora d'ACS general de sala tècnica. Sempre comprovar a posteriori amb mesures de temperatura real durant almenys 24h.
</t>
        </r>
      </text>
    </comment>
    <comment ref="Z59" authorId="0" shapeId="0" xr:uid="{FB70CA9F-42E2-4225-A52B-0CD01281BBD3}">
      <text>
        <r>
          <rPr>
            <b/>
            <sz val="9"/>
            <color indexed="81"/>
            <rFont val="Tahoma"/>
            <family val="2"/>
          </rPr>
          <t>garciafra:</t>
        </r>
        <r>
          <rPr>
            <sz val="9"/>
            <color indexed="81"/>
            <rFont val="Tahoma"/>
            <family val="2"/>
          </rPr>
          <t xml:space="preserve">
segons el cabal i les pèrdues de la xarxa que es defineixen, s'estima la temperatura de retorn teòrica. 
Aspa vermella: T retorn &lt; 50ºC, pot ser degut a un cabal massa baix i/o a una xarxa mal aïllada
Tic verd:         T retorn ≥ 50ºC 
Es pot fer servir la eina "Cerca Objectiu" per definir la Temp. d'impulsió mínima que garanteix que aquesta temp de retorn teòrica és igual al mínim necessari: T retorn ≥ 50ºC 
Així es pot reprogramar la T impulsió a la vàlvula mescladora d'ACS general de sala tècnica. Sempre comprovar a posteriori amb mesures de temperatura real durant almenys 24h.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garciafra
</author>
    <author>garciafra</author>
  </authors>
  <commentList>
    <comment ref="C63" authorId="0" shapeId="0" xr:uid="{989FDF0C-2456-4057-83BC-EB7B9A310842}">
      <text>
        <r>
          <rPr>
            <b/>
            <sz val="9"/>
            <color indexed="81"/>
            <rFont val="Tahoma"/>
            <family val="2"/>
          </rPr>
          <t>garciafra
:</t>
        </r>
        <r>
          <rPr>
            <sz val="9"/>
            <color indexed="81"/>
            <rFont val="Tahoma"/>
            <family val="2"/>
          </rPr>
          <t xml:space="preserve">
pèrdues%=(pèrdues dipòsit+recirculació)/total
calculat sobre energia final tèrmica i elèctrica</t>
        </r>
      </text>
    </comment>
    <comment ref="C64" authorId="0" shapeId="0" xr:uid="{63B2E3DD-04BC-432D-AFEB-0834E220EB72}">
      <text>
        <r>
          <rPr>
            <b/>
            <sz val="9"/>
            <color indexed="81"/>
            <rFont val="Tahoma"/>
            <family val="2"/>
          </rPr>
          <t>garciafra
:</t>
        </r>
        <r>
          <rPr>
            <sz val="9"/>
            <color indexed="81"/>
            <rFont val="Tahoma"/>
            <family val="2"/>
          </rPr>
          <t xml:space="preserve">
quantes vegades es consumeix en el sistema l'energia necessària per cobrir la demanda d'ACS 
=energia final total/energia final demanda ACS 
(inclou E final tèrmica i elèctrica)</t>
        </r>
      </text>
    </comment>
    <comment ref="C67" authorId="1" shapeId="0" xr:uid="{69EF391B-823C-4761-93E5-C8AB5976602F}">
      <text>
        <r>
          <rPr>
            <b/>
            <sz val="9"/>
            <color indexed="81"/>
            <rFont val="Tahoma"/>
            <family val="2"/>
          </rPr>
          <t>garciafra:</t>
        </r>
        <r>
          <rPr>
            <sz val="9"/>
            <color indexed="81"/>
            <rFont val="Tahoma"/>
            <family val="2"/>
          </rPr>
          <t xml:space="preserve">
Retorn econòmic de la inversió (Return Of Investment) calculat com els anys que es triga a recuperar la DIFERÈNCIA de la inversió de la instal·lació alternativa menys la inversió que costaria renovar la instal·lació actual, dividida entre l'estalvi econòmic aportat per l'estalvi d'energia de l'alternativa eficient.
Si indica "no estalvi" vol dir que el cost de l'energia anual és superior a l'actual i no es pot recuperar la inversió.
Si indica 0 és per què el cost d'inversió és inferior al cost de reposició del sistema actual.</t>
        </r>
      </text>
    </comment>
    <comment ref="C68" authorId="1" shapeId="0" xr:uid="{70378656-2EA8-40B1-9AC0-D690EA52B790}">
      <text>
        <r>
          <rPr>
            <b/>
            <sz val="9"/>
            <color indexed="81"/>
            <rFont val="Tahoma"/>
            <family val="2"/>
          </rPr>
          <t>garciafra:</t>
        </r>
        <r>
          <rPr>
            <sz val="9"/>
            <color indexed="81"/>
            <rFont val="Tahoma"/>
            <family val="2"/>
          </rPr>
          <t xml:space="preserve">
Retorn econòmic de la inversió (Return Of Investment) calculat com els anys que es triga a recuperar TOTA la inversió de la instal·lació alternativa, dividida entre l'estalvi econòmic aportat per l'estalvi d'energia de l'alternativa eficient.
Si indica "no estalvi" vol dir que el cost de l'energia anual és superior a l'actual i no es pot recuperar la inversió.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garciafra</author>
  </authors>
  <commentList>
    <comment ref="R10" authorId="0" shapeId="0" xr:uid="{407E2CE2-BA48-4FAF-9B1B-48E30182A06C}">
      <text>
        <r>
          <rPr>
            <b/>
            <sz val="9"/>
            <color indexed="81"/>
            <rFont val="Tahoma"/>
            <family val="2"/>
          </rPr>
          <t>garciafra:</t>
        </r>
        <r>
          <rPr>
            <sz val="9"/>
            <color indexed="81"/>
            <rFont val="Tahoma"/>
            <family val="2"/>
          </rPr>
          <t xml:space="preserve">
EN 14511 
Agua calentada de 30 a 35 °C, temperatura del aire exterior 7 °C b.s./6 °C b.h.</t>
        </r>
      </text>
    </comment>
    <comment ref="T10" authorId="0" shapeId="0" xr:uid="{19FEE96E-D3E7-409B-8319-064CEFF9A840}">
      <text>
        <r>
          <rPr>
            <b/>
            <sz val="9"/>
            <color indexed="81"/>
            <rFont val="Tahoma"/>
            <family val="2"/>
          </rPr>
          <t>garciafra:</t>
        </r>
        <r>
          <rPr>
            <sz val="9"/>
            <color indexed="81"/>
            <rFont val="Tahoma"/>
            <family val="2"/>
          </rPr>
          <t xml:space="preserve">
Eficiencia energética estacional de calefacción a </t>
        </r>
        <r>
          <rPr>
            <b/>
            <sz val="9"/>
            <color indexed="81"/>
            <rFont val="Tahoma"/>
            <family val="2"/>
          </rPr>
          <t>baja temperatura</t>
        </r>
        <r>
          <rPr>
            <sz val="9"/>
            <color indexed="81"/>
            <rFont val="Tahoma"/>
            <family val="2"/>
          </rPr>
          <t xml:space="preserve"> en las </t>
        </r>
        <r>
          <rPr>
            <b/>
            <sz val="9"/>
            <color indexed="81"/>
            <rFont val="Tahoma"/>
            <family val="2"/>
          </rPr>
          <t>condiciones climáticas medias (AV)</t>
        </r>
        <r>
          <rPr>
            <sz val="9"/>
            <color indexed="81"/>
            <rFont val="Tahoma"/>
            <family val="2"/>
          </rPr>
          <t xml:space="preserve"> de acuerdo al Reglamento Europeo n. 813/2013.</t>
        </r>
      </text>
    </comment>
    <comment ref="U10" authorId="0" shapeId="0" xr:uid="{30C82618-65EC-466F-9981-871C8165019F}">
      <text>
        <r>
          <rPr>
            <b/>
            <sz val="9"/>
            <color indexed="81"/>
            <rFont val="Tahoma"/>
            <family val="2"/>
          </rPr>
          <t>garciafra:</t>
        </r>
        <r>
          <rPr>
            <sz val="9"/>
            <color indexed="81"/>
            <rFont val="Tahoma"/>
            <family val="2"/>
          </rPr>
          <t xml:space="preserve">
EN 14511
Agua calentada de 47 a 55 °C, temperatura del aire exterior 7 °C b.s./6 °C b.h.</t>
        </r>
      </text>
    </comment>
    <comment ref="W10" authorId="0" shapeId="0" xr:uid="{E3858E01-8E88-49E0-9F36-FEBBA5F22BB4}">
      <text>
        <r>
          <rPr>
            <b/>
            <sz val="9"/>
            <color indexed="81"/>
            <rFont val="Tahoma"/>
            <family val="2"/>
          </rPr>
          <t>garciafra:</t>
        </r>
        <r>
          <rPr>
            <sz val="9"/>
            <color indexed="81"/>
            <rFont val="Tahoma"/>
            <family val="2"/>
          </rPr>
          <t xml:space="preserve">
Eficiencia energética estacional de calefacción a </t>
        </r>
        <r>
          <rPr>
            <b/>
            <sz val="9"/>
            <color indexed="81"/>
            <rFont val="Tahoma"/>
            <family val="2"/>
          </rPr>
          <t>media temperatura</t>
        </r>
        <r>
          <rPr>
            <sz val="9"/>
            <color indexed="81"/>
            <rFont val="Tahoma"/>
            <family val="2"/>
          </rPr>
          <t xml:space="preserve"> en las </t>
        </r>
        <r>
          <rPr>
            <b/>
            <sz val="9"/>
            <color indexed="81"/>
            <rFont val="Tahoma"/>
            <family val="2"/>
          </rPr>
          <t>condiciones climáticas medias (AV)</t>
        </r>
        <r>
          <rPr>
            <sz val="9"/>
            <color indexed="81"/>
            <rFont val="Tahoma"/>
            <family val="2"/>
          </rPr>
          <t xml:space="preserve"> de acuerdo al Reglamento Europeo UE n. 813/2013.</t>
        </r>
      </text>
    </comment>
    <comment ref="F11" authorId="0" shapeId="0" xr:uid="{27C3BFB1-03BC-4C6E-86D2-94CB52ADF2E4}">
      <text>
        <r>
          <rPr>
            <b/>
            <sz val="9"/>
            <color indexed="81"/>
            <rFont val="Tahoma"/>
            <family val="2"/>
          </rPr>
          <t>garciafra:</t>
        </r>
        <r>
          <rPr>
            <sz val="9"/>
            <color indexed="81"/>
            <rFont val="Tahoma"/>
            <family val="2"/>
          </rPr>
          <t xml:space="preserve">
indicar COP a clima corresponent (càlid o mitjà) amb Temp aire exterior 7ºC i Temp impulsió primari 65ºC</t>
        </r>
      </text>
    </comment>
    <comment ref="F12" authorId="0" shapeId="0" xr:uid="{F0D9F3E8-21DC-4633-B7F7-550359884C0E}">
      <text>
        <r>
          <rPr>
            <b/>
            <sz val="9"/>
            <color indexed="81"/>
            <rFont val="Tahoma"/>
            <family val="2"/>
          </rPr>
          <t>garciafra:</t>
        </r>
        <r>
          <rPr>
            <sz val="9"/>
            <color indexed="81"/>
            <rFont val="Tahoma"/>
            <family val="2"/>
          </rPr>
          <t xml:space="preserve">
en cas de no disposar del COP A7/W65 indicar COP a Temp impulsió 55ºC (anomenat "alta temperatura" a les fitxes tècniques).</t>
        </r>
      </text>
    </comment>
    <comment ref="X14" authorId="0" shapeId="0" xr:uid="{072F3671-ADA6-4364-ADDE-5C6B953B017E}">
      <text>
        <r>
          <rPr>
            <b/>
            <sz val="9"/>
            <color indexed="81"/>
            <rFont val="Tahoma"/>
            <family val="2"/>
          </rPr>
          <t>garciafra:</t>
        </r>
        <r>
          <rPr>
            <sz val="9"/>
            <color indexed="81"/>
            <rFont val="Tahoma"/>
            <family val="2"/>
          </rPr>
          <t xml:space="preserve">
70ºc
</t>
        </r>
      </text>
    </comment>
    <comment ref="R15" authorId="0" shapeId="0" xr:uid="{EA2071BD-BA4C-472C-9C1C-1F27DB935C21}">
      <text>
        <r>
          <rPr>
            <b/>
            <sz val="9"/>
            <color indexed="81"/>
            <rFont val="Tahoma"/>
            <family val="2"/>
          </rPr>
          <t>garciafra:</t>
        </r>
        <r>
          <rPr>
            <sz val="9"/>
            <color indexed="81"/>
            <rFont val="Tahoma"/>
            <family val="2"/>
          </rPr>
          <t xml:space="preserve">
AV/+45/7
</t>
        </r>
      </text>
    </comment>
    <comment ref="R16" authorId="0" shapeId="0" xr:uid="{6315A3A5-ABAB-41D6-87CC-4631B71FC0D4}">
      <text>
        <r>
          <rPr>
            <b/>
            <sz val="9"/>
            <color indexed="81"/>
            <rFont val="Tahoma"/>
            <family val="2"/>
          </rPr>
          <t>garciafra:</t>
        </r>
        <r>
          <rPr>
            <sz val="9"/>
            <color indexed="81"/>
            <rFont val="Tahoma"/>
            <family val="2"/>
          </rPr>
          <t xml:space="preserve">
+55/7</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garciafra</author>
  </authors>
  <commentList>
    <comment ref="A11" authorId="0" shapeId="0" xr:uid="{C3B57212-F3E8-46E3-B50D-4FED94090E75}">
      <text>
        <r>
          <rPr>
            <b/>
            <sz val="9"/>
            <color indexed="81"/>
            <rFont val="Tahoma"/>
            <family val="2"/>
          </rPr>
          <t>garciafra:</t>
        </r>
        <r>
          <rPr>
            <sz val="9"/>
            <color indexed="81"/>
            <rFont val="Tahoma"/>
            <family val="2"/>
          </rPr>
          <t xml:space="preserve">
hores diàries habituals d'obertura/ús de l'equipament (segons horari indicat)
</t>
        </r>
      </text>
    </comment>
    <comment ref="A12" authorId="0" shapeId="0" xr:uid="{C1B699AE-14F9-48D8-8A24-13041FAC2F8E}">
      <text>
        <r>
          <rPr>
            <b/>
            <sz val="9"/>
            <color indexed="81"/>
            <rFont val="Tahoma"/>
            <family val="2"/>
          </rPr>
          <t>garciafra:</t>
        </r>
        <r>
          <rPr>
            <sz val="9"/>
            <color indexed="81"/>
            <rFont val="Tahoma"/>
            <family val="2"/>
          </rPr>
          <t xml:space="preserve">
hores d'obertura/ús en èpoques o períodes on es canvia l'horari (p.e. Jornada intensiva durant l'estiu, horari en festius...)</t>
        </r>
      </text>
    </comment>
    <comment ref="A13" authorId="0" shapeId="0" xr:uid="{06E2D936-AFBE-4758-8500-F7017FB9605F}">
      <text>
        <r>
          <rPr>
            <b/>
            <sz val="9"/>
            <color indexed="81"/>
            <rFont val="Tahoma"/>
            <family val="2"/>
          </rPr>
          <t>garciafra:</t>
        </r>
        <r>
          <rPr>
            <sz val="9"/>
            <color indexed="81"/>
            <rFont val="Tahoma"/>
            <family val="2"/>
          </rPr>
          <t xml:space="preserve">
indiqueu la quantitat de dutxes diàries que es realitzen.
SI el consum és variable segons l'època, indiqueu un promig diari que multiplicat pels dies d'obertura doni el total de dutxes anuals. Indiqueu-ho a les observacions.
</t>
        </r>
      </text>
    </comment>
    <comment ref="A14" authorId="0" shapeId="0" xr:uid="{FCA3F555-6D2A-4418-9005-0F653014AC28}">
      <text>
        <r>
          <rPr>
            <b/>
            <sz val="9"/>
            <color indexed="81"/>
            <rFont val="Tahoma"/>
            <family val="2"/>
          </rPr>
          <t>garciafra:</t>
        </r>
        <r>
          <rPr>
            <sz val="9"/>
            <color indexed="81"/>
            <rFont val="Tahoma"/>
            <family val="2"/>
          </rPr>
          <t xml:space="preserve">
s'entén MENU com a 1 dinar o 1 sopar. 
Esmorzar computaria com a 0,5.
Si el consum és variat per èpoques, indiqueu un promig diari que multiplicat pels dies d'obertura doni els ménús totals anuals.
</t>
        </r>
      </text>
    </comment>
    <comment ref="B18" authorId="0" shapeId="0" xr:uid="{9D9214AE-EBBB-480A-AA47-FDBC4FAD4C62}">
      <text>
        <r>
          <rPr>
            <b/>
            <sz val="9"/>
            <color indexed="81"/>
            <rFont val="Tahoma"/>
            <family val="2"/>
          </rPr>
          <t>garciafra:</t>
        </r>
        <r>
          <rPr>
            <sz val="9"/>
            <color indexed="81"/>
            <rFont val="Tahoma"/>
            <family val="2"/>
          </rPr>
          <t xml:space="preserve">
s'indiquen els dies laborables genèrics a Catalunya.
Cal revisar-ho i canviar la xifra (segons els festius locals que es poden incorporar a la columna T i les particularitats de l'equipament).
Els dies del mes que siguin amb l'horari especial restar-los d'aquesta columna i indicar a la següent columna)
</t>
        </r>
      </text>
    </comment>
    <comment ref="C18" authorId="0" shapeId="0" xr:uid="{60B3311F-B61D-412B-8892-73F42B98D02D}">
      <text>
        <r>
          <rPr>
            <b/>
            <sz val="9"/>
            <color indexed="81"/>
            <rFont val="Tahoma"/>
            <family val="2"/>
          </rPr>
          <t>garciafra:</t>
        </r>
        <r>
          <rPr>
            <sz val="9"/>
            <color indexed="81"/>
            <rFont val="Tahoma"/>
            <family val="2"/>
          </rPr>
          <t xml:space="preserve">
indicar els dies laborables del mes amb horari especial (i restar aquests dies de la columna d'horari habitual)</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garciafra</author>
  </authors>
  <commentList>
    <comment ref="D8" authorId="0" shapeId="0" xr:uid="{A862793D-69AE-493B-9188-8A22E5A7A80F}">
      <text>
        <r>
          <rPr>
            <b/>
            <sz val="9"/>
            <color indexed="81"/>
            <rFont val="Tahoma"/>
            <family val="2"/>
          </rPr>
          <t>garciafra:</t>
        </r>
        <r>
          <rPr>
            <sz val="9"/>
            <color indexed="81"/>
            <rFont val="Tahoma"/>
            <family val="2"/>
          </rPr>
          <t xml:space="preserve">
exemple de rendiments:
CALDERA
rendiment estacional caldera nova (primers 5 anys):
GN condensacio...90-97%
GN estanca.........85-90%
GN atmosfèrica....80-85%
BM biomassa........85%
a partir del 5è any aplicar una reducció o coef d'envelliment (CE). Per exemple: reduir 0,5% per any d'antiguitat a partir del 5è any (CE=(edat-5)x(-0,5%) si edat&gt;5anys, sino CE=1)
ELECTRIC
efecte Joule..............................100%
bomba calor HT aerotèrmica........300%
bomba calor HT geotèrmica.........400%
</t>
        </r>
      </text>
    </comment>
    <comment ref="B9" authorId="0" shapeId="0" xr:uid="{43E67542-FC00-4F34-BDA2-C8B617A38C8B}">
      <text>
        <r>
          <rPr>
            <b/>
            <sz val="9"/>
            <color indexed="81"/>
            <rFont val="Tahoma"/>
            <family val="2"/>
          </rPr>
          <t>garciafra:</t>
        </r>
        <r>
          <rPr>
            <sz val="9"/>
            <color indexed="81"/>
            <rFont val="Tahoma"/>
            <family val="2"/>
          </rPr>
          <t xml:space="preserve">
indicar la potència elèctrica del cremador, el ventilador d'aire de combustió i la bomba circuladora del primari</t>
        </r>
      </text>
    </comment>
    <comment ref="D19" authorId="0" shapeId="0" xr:uid="{20C3219B-45D9-450B-8E65-A2434E2AF413}">
      <text>
        <r>
          <rPr>
            <b/>
            <sz val="9"/>
            <color indexed="81"/>
            <rFont val="Tahoma"/>
            <family val="2"/>
          </rPr>
          <t>garciafra:</t>
        </r>
        <r>
          <rPr>
            <sz val="9"/>
            <color indexed="81"/>
            <rFont val="Tahoma"/>
            <family val="2"/>
          </rPr>
          <t xml:space="preserve">
coeficient per modificar la demanda de forma proporcional</t>
        </r>
      </text>
    </comment>
    <comment ref="D21" authorId="0" shapeId="0" xr:uid="{5763F4DD-818A-4D0A-BFAC-958BB0EFC1D6}">
      <text>
        <r>
          <rPr>
            <b/>
            <sz val="9"/>
            <color indexed="81"/>
            <rFont val="Tahoma"/>
            <family val="2"/>
          </rPr>
          <t>garciafra:</t>
        </r>
        <r>
          <rPr>
            <sz val="9"/>
            <color indexed="81"/>
            <rFont val="Tahoma"/>
            <family val="2"/>
          </rPr>
          <t xml:space="preserve">
la temperatura associada als llitres/dia inidcats. Segons CTE és 60ºC.</t>
        </r>
      </text>
    </comment>
    <comment ref="D22" authorId="0" shapeId="0" xr:uid="{F7F467BC-4E39-4C35-B488-18934869AA4E}">
      <text>
        <r>
          <rPr>
            <b/>
            <sz val="9"/>
            <color indexed="81"/>
            <rFont val="Tahoma"/>
            <family val="2"/>
          </rPr>
          <t>garciafra:</t>
        </r>
        <r>
          <rPr>
            <sz val="9"/>
            <color indexed="81"/>
            <rFont val="Tahoma"/>
            <family val="2"/>
          </rPr>
          <t xml:space="preserve">
indicar mitjana anual
si no es coneix prendre 15ºC per Catalunya</t>
        </r>
      </text>
    </comment>
    <comment ref="D47" authorId="0" shapeId="0" xr:uid="{27A03E75-D56F-414C-9BD9-26C729127466}">
      <text>
        <r>
          <rPr>
            <b/>
            <sz val="9"/>
            <color indexed="81"/>
            <rFont val="Tahoma"/>
            <family val="2"/>
          </rPr>
          <t>garciafra:</t>
        </r>
        <r>
          <rPr>
            <sz val="9"/>
            <color indexed="81"/>
            <rFont val="Tahoma"/>
            <family val="2"/>
          </rPr>
          <t xml:space="preserve">
es suma el temps de producció de l'energia tèrmica i un minim de 10 minuts al dia de pèrdues per vèncer la inèrcia tèrmica del sistema abans de ser funcional</t>
        </r>
      </text>
    </comment>
    <comment ref="D51" authorId="0" shapeId="0" xr:uid="{714CDD35-EDA0-4A02-A6C1-013703F0FA4E}">
      <text>
        <r>
          <rPr>
            <b/>
            <sz val="9"/>
            <color indexed="81"/>
            <rFont val="Tahoma"/>
            <family val="2"/>
          </rPr>
          <t>garciafra:</t>
        </r>
        <r>
          <rPr>
            <sz val="9"/>
            <color indexed="81"/>
            <rFont val="Tahoma"/>
            <family val="2"/>
          </rPr>
          <t xml:space="preserve">
si no es coneix agafar la temperatura de:
ACS: consigna de l'acumulador ACS
calefacció sense dipòsit inèrcia (DI): consigna caldera
calefacció amb DI: consigna DI
com a mesura d'estalvi ajustar la temperatura de dipòsit i d'impulsió als mínims normatius(T dipo=60ºC i TrecirACS&gt;50ºC)  o segons necessitats (p.e. demandes punta superior al volum acumulat)</t>
        </r>
      </text>
    </comment>
    <comment ref="L51" authorId="0" shapeId="0" xr:uid="{EB53FAA8-0819-49AF-947D-BBC670FF945F}">
      <text>
        <r>
          <rPr>
            <b/>
            <sz val="9"/>
            <color indexed="81"/>
            <rFont val="Tahoma"/>
            <family val="2"/>
          </rPr>
          <t>garciafra:</t>
        </r>
        <r>
          <rPr>
            <sz val="9"/>
            <color indexed="81"/>
            <rFont val="Tahoma"/>
            <family val="2"/>
          </rPr>
          <t xml:space="preserve">
L'objectiu és minimtzar la potènica de la bomba, però sempre assegurant que la T de recirculació de l'ACS retorna a sala per sobre de 50ºC. Agafarem com a llindar de seguretat T recir=55ºC. Es faran les proves a l'hivern amb registres de 24h.
Procediment:
1) ajustar consigna dipòsit a T dipo=60ºC (a menys que hi hagi demandes punta a 60ºC superiors al volum acumulat)
2) ajustar velocitat bomba a mínim i valorar:
3) Si T recir &lt; 55ºC: incrementar velocitat de la bomba fins assolir T recir=55. Si no es pot, incrementar T dipo i tornar a començar a velocitat mínima
4) Si T recir &gt; 55ºC, valorar:
      cas 1:  T dipo &gt; 60ºC (per necessitats de demanda):  si tenim vàlvula mescaldora 3 vies reduir T imp fins Trecir=55ºC.
      cas 2: T dipo = 60ºC: si tenim vàlvula mescaldora 3 vies reduir T imp fins Tret=55ºC, sino, reduir cabal recirculació amb vàlvula de regulació si n'hi ha fins Tret=55, sino es pot plantejar canviar la bomba per una de menys cabal i regulació electrònica amb consigna de tmeperatura o afegir termostat de control de la bomba.</t>
        </r>
      </text>
    </comment>
    <comment ref="L54" authorId="0" shapeId="0" xr:uid="{307C71D0-7C87-4668-B6E3-5E524EE71F20}">
      <text>
        <r>
          <rPr>
            <b/>
            <sz val="9"/>
            <color indexed="81"/>
            <rFont val="Tahoma"/>
            <family val="2"/>
          </rPr>
          <t>garciafra:</t>
        </r>
        <r>
          <rPr>
            <sz val="9"/>
            <color indexed="81"/>
            <rFont val="Tahoma"/>
            <family val="2"/>
          </rPr>
          <t xml:space="preserve">
segons el cabal i les pèrdues de la xarxa que es defineixen, es calcula la temperatura de retorn teòrica. 
Es pot fer servir la eina "Cerca Objectiu" per definir la Temp. d'impulsió mínima que garanteix que la aquesta temp de retorn teòrica és igual al mínim necessari:
recirculació ACS &gt; 50ºC 
Així es pot reprogramar la T impulsió a la vàlvula mescladora d'ACS general de sala tècnica. Sempre comprovar a posteriori amb mesures de temperatura real durant almenys 24h.
</t>
        </r>
      </text>
    </comment>
    <comment ref="E151" authorId="0" shapeId="0" xr:uid="{DF227CF8-FE76-438D-9707-C4089D89F880}">
      <text>
        <r>
          <rPr>
            <b/>
            <sz val="9"/>
            <color indexed="81"/>
            <rFont val="Tahoma"/>
            <family val="2"/>
          </rPr>
          <t>garciafra:</t>
        </r>
        <r>
          <rPr>
            <sz val="9"/>
            <color indexed="81"/>
            <rFont val="Tahoma"/>
            <family val="2"/>
          </rPr>
          <t xml:space="preserve">
segons el cabal i les pèrdues de la xarxa que es defineixen, es calcula la temperatura de retorn teòrica. 
Es pot fer servir la eina "Cerca Objectiu" per definir la Temp. d'impulsió mínima que garanteix que la aquesta temp de retorn teòrica és igual al mínim necessari:
recirculació ACS &gt; 50ºC 
Així es pot reprogramar la T impulsió a la vàlvula mescladora d'ACS general de sala tècnica. Sempre comprovar a posteriori amb mesures de temperatura real durant almenys 24h.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garciafra</author>
  </authors>
  <commentList>
    <comment ref="D7" authorId="0" shapeId="0" xr:uid="{60DCA05D-4452-49E6-BABF-AAE22413D2CA}">
      <text>
        <r>
          <rPr>
            <b/>
            <sz val="9"/>
            <color indexed="81"/>
            <rFont val="Tahoma"/>
            <family val="2"/>
          </rPr>
          <t>garciafra:</t>
        </r>
        <r>
          <rPr>
            <sz val="9"/>
            <color indexed="81"/>
            <rFont val="Tahoma"/>
            <family val="2"/>
          </rPr>
          <t xml:space="preserve">
exemple de rendiments:
CALDERA
rendiment estacional caldera nova (primers 5 anys):
GN condensacio...90-97%
GN estanca.........85-90%
GN atmosfèrica....80-85%
BM biomassa........85%
a partir del 5è any aplicar una reducció o coef d'envelliment (CE). Per exemple: reduir 0,5% per any d'antiguitat a partir del 5è any (CE=(edat-5)x(-0,5%) si edat&gt;5anys, sino CE=1)
ELECTRIC
efecte Joule..............................100%
bomba calor HT aerotèrmica........300%
bomba calor HT geotèrmica.........400%
</t>
        </r>
      </text>
    </comment>
    <comment ref="W7" authorId="0" shapeId="0" xr:uid="{36223FCB-58CD-4A0E-930D-CA8FFCFB43AA}">
      <text>
        <r>
          <rPr>
            <b/>
            <sz val="9"/>
            <color indexed="81"/>
            <rFont val="Tahoma"/>
            <family val="2"/>
          </rPr>
          <t>garciafra:</t>
        </r>
        <r>
          <rPr>
            <sz val="9"/>
            <color indexed="81"/>
            <rFont val="Tahoma"/>
            <family val="2"/>
          </rPr>
          <t xml:space="preserve">
exemple de rendiments:
CALDERA
rendiment estacional caldera nova (primers 5 anys):
GN condensacio...90-97%
GN estanca.........85-90%
GN atmosfèrica....80-85%
BM biomassa........85%
a partir del 5è any aplicar una reducció o coef d'envelliment (CE). Per exemple: reduir 0,5% per any d'antiguitat a partir del 5è any (CE=(edat-5)x(-0,5%) si edat&gt;5anys, sino CE=1)
ELECTRIC
efecte Joule..............................100%
bomba calor HT aerotèrmica........300%
bomba calor HT geotèrmica.........400%
</t>
        </r>
      </text>
    </comment>
    <comment ref="AP7" authorId="0" shapeId="0" xr:uid="{5F37F035-04D9-473B-96AC-F9E91DCB87F8}">
      <text>
        <r>
          <rPr>
            <b/>
            <sz val="9"/>
            <color indexed="81"/>
            <rFont val="Tahoma"/>
            <family val="2"/>
          </rPr>
          <t>garciafra:</t>
        </r>
        <r>
          <rPr>
            <sz val="9"/>
            <color indexed="81"/>
            <rFont val="Tahoma"/>
            <family val="2"/>
          </rPr>
          <t xml:space="preserve">
exemple de rendiments:
CALDERA
rendiment estacional caldera nova (primers 5 anys):
GN condensacio...90-97%
GN estanca.........85-90%
GN atmosfèrica....80-85%
BM biomassa........85%
a partir del 5è any aplicar una reducció o coef d'envelliment (CE). Per exemple: reduir 0,5% per any d'antiguitat a partir del 5è any (CE=(edat-5)x(-0,5%) si edat&gt;5anys, sino CE=1)
ELECTRIC
efecte Joule..............................100%
bomba calor HT aerotèrmica........300%
bomba calor HT geotèrmica.........400%
</t>
        </r>
      </text>
    </comment>
    <comment ref="B11" authorId="0" shapeId="0" xr:uid="{BF5DC4E7-B196-4693-81FA-372630686389}">
      <text>
        <r>
          <rPr>
            <b/>
            <sz val="9"/>
            <color indexed="81"/>
            <rFont val="Tahoma"/>
            <family val="2"/>
          </rPr>
          <t>garciafra:</t>
        </r>
        <r>
          <rPr>
            <sz val="9"/>
            <color indexed="81"/>
            <rFont val="Tahoma"/>
            <family val="2"/>
          </rPr>
          <t xml:space="preserve">
indicar la potència elèctrica del cremador, el ventilador d'aire de combustió i la bomba circuladora del primari</t>
        </r>
      </text>
    </comment>
    <comment ref="U11" authorId="0" shapeId="0" xr:uid="{A57A9C4B-7BF2-438A-8B0D-7751D0833EDB}">
      <text>
        <r>
          <rPr>
            <b/>
            <sz val="9"/>
            <color indexed="81"/>
            <rFont val="Tahoma"/>
            <family val="2"/>
          </rPr>
          <t>garciafra:</t>
        </r>
        <r>
          <rPr>
            <sz val="9"/>
            <color indexed="81"/>
            <rFont val="Tahoma"/>
            <family val="2"/>
          </rPr>
          <t xml:space="preserve">
indicar la potència elèctrica del cremador, el ventilador d'aire de combustió i la bomba circuladora del primari</t>
        </r>
      </text>
    </comment>
    <comment ref="AN11" authorId="0" shapeId="0" xr:uid="{A6B93942-EB65-47DC-8F14-4C6F7FE99614}">
      <text>
        <r>
          <rPr>
            <b/>
            <sz val="9"/>
            <color indexed="81"/>
            <rFont val="Tahoma"/>
            <family val="2"/>
          </rPr>
          <t>garciafra:</t>
        </r>
        <r>
          <rPr>
            <sz val="9"/>
            <color indexed="81"/>
            <rFont val="Tahoma"/>
            <family val="2"/>
          </rPr>
          <t xml:space="preserve">
indicar la potència elèctrica del cremador, el ventilador d'aire de combustió i la bomba circuladora del primari</t>
        </r>
      </text>
    </comment>
    <comment ref="D18" authorId="0" shapeId="0" xr:uid="{A5EB00BF-458F-4FC3-8713-576761E739DE}">
      <text>
        <r>
          <rPr>
            <b/>
            <sz val="9"/>
            <color indexed="81"/>
            <rFont val="Tahoma"/>
            <family val="2"/>
          </rPr>
          <t>garciafra:</t>
        </r>
        <r>
          <rPr>
            <sz val="9"/>
            <color indexed="81"/>
            <rFont val="Tahoma"/>
            <family val="2"/>
          </rPr>
          <t xml:space="preserve">
coeficient per modificar la demanda de forma proporcional</t>
        </r>
      </text>
    </comment>
    <comment ref="W18" authorId="0" shapeId="0" xr:uid="{8A0F2203-4B46-44A7-8C24-B8BA0EE73C45}">
      <text>
        <r>
          <rPr>
            <b/>
            <sz val="9"/>
            <color indexed="81"/>
            <rFont val="Tahoma"/>
            <family val="2"/>
          </rPr>
          <t>garciafra:</t>
        </r>
        <r>
          <rPr>
            <sz val="9"/>
            <color indexed="81"/>
            <rFont val="Tahoma"/>
            <family val="2"/>
          </rPr>
          <t xml:space="preserve">
coeficient per modificar la demanda de forma proporcional</t>
        </r>
      </text>
    </comment>
    <comment ref="AP18" authorId="0" shapeId="0" xr:uid="{702981A2-DDDF-48EC-A4B8-71D8A5452A65}">
      <text>
        <r>
          <rPr>
            <b/>
            <sz val="9"/>
            <color indexed="81"/>
            <rFont val="Tahoma"/>
            <family val="2"/>
          </rPr>
          <t>garciafra:</t>
        </r>
        <r>
          <rPr>
            <sz val="9"/>
            <color indexed="81"/>
            <rFont val="Tahoma"/>
            <family val="2"/>
          </rPr>
          <t xml:space="preserve">
coeficient per modificar la demanda de forma proporcional</t>
        </r>
      </text>
    </comment>
    <comment ref="D20" authorId="0" shapeId="0" xr:uid="{DE4A8D2D-412D-493B-B7B6-1A220D9259AF}">
      <text>
        <r>
          <rPr>
            <b/>
            <sz val="9"/>
            <color indexed="81"/>
            <rFont val="Tahoma"/>
            <family val="2"/>
          </rPr>
          <t>garciafra:</t>
        </r>
        <r>
          <rPr>
            <sz val="9"/>
            <color indexed="81"/>
            <rFont val="Tahoma"/>
            <family val="2"/>
          </rPr>
          <t xml:space="preserve">
la temperatura associada als llitres/dia inidcats. Segons CTE és 60ºC.</t>
        </r>
      </text>
    </comment>
    <comment ref="W20" authorId="0" shapeId="0" xr:uid="{08EE02EF-1757-4DA5-90DC-D4E633BFC813}">
      <text>
        <r>
          <rPr>
            <b/>
            <sz val="9"/>
            <color indexed="81"/>
            <rFont val="Tahoma"/>
            <family val="2"/>
          </rPr>
          <t>garciafra:</t>
        </r>
        <r>
          <rPr>
            <sz val="9"/>
            <color indexed="81"/>
            <rFont val="Tahoma"/>
            <family val="2"/>
          </rPr>
          <t xml:space="preserve">
la temperatura associada als llitres/dia inidcats. Segons CTE és 60ºC.</t>
        </r>
      </text>
    </comment>
    <comment ref="AP20" authorId="0" shapeId="0" xr:uid="{D4FDFD18-8D7D-47F6-8690-E8926D3C3D51}">
      <text>
        <r>
          <rPr>
            <b/>
            <sz val="9"/>
            <color indexed="81"/>
            <rFont val="Tahoma"/>
            <family val="2"/>
          </rPr>
          <t>garciafra:</t>
        </r>
        <r>
          <rPr>
            <sz val="9"/>
            <color indexed="81"/>
            <rFont val="Tahoma"/>
            <family val="2"/>
          </rPr>
          <t xml:space="preserve">
la temperatura associada als llitres/dia inidcats. Segons CTE és 60ºC.</t>
        </r>
      </text>
    </comment>
    <comment ref="D21" authorId="0" shapeId="0" xr:uid="{9AE991FE-6087-4AAE-88F9-A2E398DAF879}">
      <text>
        <r>
          <rPr>
            <b/>
            <sz val="9"/>
            <color indexed="81"/>
            <rFont val="Tahoma"/>
            <family val="2"/>
          </rPr>
          <t>garciafra:</t>
        </r>
        <r>
          <rPr>
            <sz val="9"/>
            <color indexed="81"/>
            <rFont val="Tahoma"/>
            <family val="2"/>
          </rPr>
          <t xml:space="preserve">
indicar mitjana anual
si no es coneix prendre 15ºC per Catalunya</t>
        </r>
      </text>
    </comment>
    <comment ref="W21" authorId="0" shapeId="0" xr:uid="{108360C3-A33A-466E-8F1F-C0F38E2514F8}">
      <text>
        <r>
          <rPr>
            <b/>
            <sz val="9"/>
            <color indexed="81"/>
            <rFont val="Tahoma"/>
            <family val="2"/>
          </rPr>
          <t>garciafra:</t>
        </r>
        <r>
          <rPr>
            <sz val="9"/>
            <color indexed="81"/>
            <rFont val="Tahoma"/>
            <family val="2"/>
          </rPr>
          <t xml:space="preserve">
indicar mitjana anual
si no es coneix prendre 15ºC per Catalunya</t>
        </r>
      </text>
    </comment>
    <comment ref="AP21" authorId="0" shapeId="0" xr:uid="{3805DAD7-6E8C-4DFE-B0BC-4177E2BFDEF2}">
      <text>
        <r>
          <rPr>
            <b/>
            <sz val="9"/>
            <color indexed="81"/>
            <rFont val="Tahoma"/>
            <family val="2"/>
          </rPr>
          <t>garciafra:</t>
        </r>
        <r>
          <rPr>
            <sz val="9"/>
            <color indexed="81"/>
            <rFont val="Tahoma"/>
            <family val="2"/>
          </rPr>
          <t xml:space="preserve">
indicar mitjana anual
si no es coneix prendre 15ºC per Catalunya</t>
        </r>
      </text>
    </comment>
    <comment ref="D46" authorId="0" shapeId="0" xr:uid="{1F161F35-E328-4C0F-A875-359662D5B4E3}">
      <text>
        <r>
          <rPr>
            <b/>
            <sz val="9"/>
            <color indexed="81"/>
            <rFont val="Tahoma"/>
            <family val="2"/>
          </rPr>
          <t>garciafra:</t>
        </r>
        <r>
          <rPr>
            <sz val="9"/>
            <color indexed="81"/>
            <rFont val="Tahoma"/>
            <family val="2"/>
          </rPr>
          <t xml:space="preserve">
es suma el temps de producció de l'energia tèrmica i un minim de 10 minuts al dia de pèrdues per vèncer la inèrcia tèrmica del sistema abans de ser funcional</t>
        </r>
      </text>
    </comment>
    <comment ref="D50" authorId="0" shapeId="0" xr:uid="{9239E008-A103-4153-8A50-CA4CA5C789D9}">
      <text>
        <r>
          <rPr>
            <b/>
            <sz val="9"/>
            <color indexed="81"/>
            <rFont val="Tahoma"/>
            <family val="2"/>
          </rPr>
          <t>garciafra:</t>
        </r>
        <r>
          <rPr>
            <sz val="9"/>
            <color indexed="81"/>
            <rFont val="Tahoma"/>
            <family val="2"/>
          </rPr>
          <t xml:space="preserve">
si no es coneix agafar la temperatura de:
ACS: consigna de l'acumulador ACS
calefacció sense dipòsit inèrcia (DI): consigna caldera
calefacció amb DI: consigna DI
com a mesura d'estalvi ajustar la temperatura de dipòsit i d'impulsió als mínims normatius(T dipo=60ºC i TrecirACS&gt;50ºC)  o segons necessitats (p.e. demandes punta superior al volum acumulat)</t>
        </r>
      </text>
    </comment>
    <comment ref="L50" authorId="0" shapeId="0" xr:uid="{7C34AB81-F636-48A2-B56B-469EAA28BA05}">
      <text>
        <r>
          <rPr>
            <b/>
            <sz val="9"/>
            <color indexed="81"/>
            <rFont val="Tahoma"/>
            <family val="2"/>
          </rPr>
          <t>garciafra:</t>
        </r>
        <r>
          <rPr>
            <sz val="9"/>
            <color indexed="81"/>
            <rFont val="Tahoma"/>
            <family val="2"/>
          </rPr>
          <t xml:space="preserve">
L'objectiu és minimtzar la potènica de la bomba, però sempre assegurant que la T de recirculació de l'ACS retorna a sala per sobre de 50ºC. Agafarem com a llindar de seguretat T recir=55ºC. Es faran les proves a l'hivern amb registres de 24h.
Procediment:
1) ajustar consigna dipòsit a T dipo=60ºC (a menys que hi hagi demandes punta a 60ºC superiors al volum acumulat)
2) ajustar velocitat bomba a mínim i valorar:
3) Si T recir &lt; 55ºC: incrementar velocitat de la bomba fins assolir T recir=55. Si no es pot, incrementar T dipo i tornar a començar a velocitat mínima
4) Si T recir &gt; 55ºC, valorar:
      cas 1:  T dipo &gt; 60ºC (per necessitats de demanda):  si tenim vàlvula mescaldora 3 vies reduir T imp fins Trecir=55ºC.
      cas 2: T dipo = 60ºC: si tenim vàlvula mescaldora 3 vies reduir T imp fins Tret=55ºC, sino, reduir cabal recirculació amb vàlvula de regulació si n'hi ha fins Tret=55, sino es pot plantejar canviar la bomba per una de menys cabal i regulació electrònica amb consigna de tmeperatura o afegir termostat de control de la bomba.</t>
        </r>
      </text>
    </comment>
    <comment ref="W50" authorId="0" shapeId="0" xr:uid="{8DE06E59-BDEF-4F1A-A47A-ACAB9DA0F3C5}">
      <text>
        <r>
          <rPr>
            <b/>
            <sz val="9"/>
            <color indexed="81"/>
            <rFont val="Tahoma"/>
            <family val="2"/>
          </rPr>
          <t>garciafra:</t>
        </r>
        <r>
          <rPr>
            <sz val="9"/>
            <color indexed="81"/>
            <rFont val="Tahoma"/>
            <family val="2"/>
          </rPr>
          <t xml:space="preserve">
si no es coneix agafar la temperatura de:
ACS: consigna de l'acumulador ACS
calefacció sense dipòsit inèrcia (DI): consigna caldera
calefacció amb DI: consigna DI
com a mesura d'estalvi ajustar la temperatura de dipòsit i d'impulsió als mínims normatius(T dipo=60ºC i TrecirACS&gt;50ºC)  o segons necessitats (p.e. demandes punta superior al volum acumulat)</t>
        </r>
      </text>
    </comment>
    <comment ref="AE50" authorId="0" shapeId="0" xr:uid="{10244B85-B42E-4A15-A271-D16BEDC47CFC}">
      <text>
        <r>
          <rPr>
            <b/>
            <sz val="9"/>
            <color indexed="81"/>
            <rFont val="Tahoma"/>
            <family val="2"/>
          </rPr>
          <t>garciafra:</t>
        </r>
        <r>
          <rPr>
            <sz val="9"/>
            <color indexed="81"/>
            <rFont val="Tahoma"/>
            <family val="2"/>
          </rPr>
          <t xml:space="preserve">
L'objectiu és minimtzar la potènica de la bomba, però sempre assegurant que la T de recirculació de l'ACS retorna a sala per sobre de 50ºC. Agafarem com a llindar de seguretat T recir=55ºC. Es faran les proves a l'hivern amb registres de 24h.
Procediment:
1) ajustar consigna dipòsit a T dipo=60ºC (a menys que hi hagi demandes punta a 60ºC superiors al volum acumulat)
2) ajustar velocitat bomba a mínim i valorar:
3) Si T recir &lt; 55ºC: incrementar velocitat de la bomba fins assolir T recir=55. Si no es pot, incrementar T dipo i tornar a començar a velocitat mínima
4) Si T recir &gt; 55ºC, valorar:
      cas 1:  T dipo &gt; 60ºC (per necessitats de demanda):  si tenim vàlvula mescaldora 3 vies reduir T imp fins Trecir=55ºC.
      cas 2: T dipo = 60ºC: si tenim vàlvula mescaldora 3 vies reduir T imp fins Tret=55ºC, sino, reduir cabal recirculació amb vàlvula de regulació si n'hi ha fins Tret=55, sino es pot plantejar canviar la bomba per una de menys cabal i regulació electrònica amb consigna de tmeperatura o afegir termostat de control de la bomba.</t>
        </r>
      </text>
    </comment>
    <comment ref="AP50" authorId="0" shapeId="0" xr:uid="{EBD1FD87-5028-4C57-8AF3-CE33DE630C45}">
      <text>
        <r>
          <rPr>
            <b/>
            <sz val="9"/>
            <color indexed="81"/>
            <rFont val="Tahoma"/>
            <family val="2"/>
          </rPr>
          <t>garciafra:</t>
        </r>
        <r>
          <rPr>
            <sz val="9"/>
            <color indexed="81"/>
            <rFont val="Tahoma"/>
            <family val="2"/>
          </rPr>
          <t xml:space="preserve">
si no es coneix agafar la temperatura de:
ACS: consigna de l'acumulador ACS
calefacció sense dipòsit inèrcia (DI): consigna caldera
calefacció amb DI: consigna DI
com a mesura d'estalvi ajustar la temperatura de dipòsit i d'impulsió als mínims normatius(T dipo=60ºC i TrecirACS&gt;50ºC)  o segons necessitats (p.e. demandes punta superior al volum acumulat)</t>
        </r>
      </text>
    </comment>
    <comment ref="AX50" authorId="0" shapeId="0" xr:uid="{13DADBA4-9D5D-4AF8-9C41-0EFD6D8EE1EE}">
      <text>
        <r>
          <rPr>
            <b/>
            <sz val="9"/>
            <color indexed="81"/>
            <rFont val="Tahoma"/>
            <family val="2"/>
          </rPr>
          <t>garciafra:</t>
        </r>
        <r>
          <rPr>
            <sz val="9"/>
            <color indexed="81"/>
            <rFont val="Tahoma"/>
            <family val="2"/>
          </rPr>
          <t xml:space="preserve">
L'objectiu és minimtzar la potènica de la bomba, però sempre assegurant que la T de recirculació de l'ACS retorna a sala per sobre de 50ºC. Agafarem com a llindar de seguretat T recir=55ºC. Es faran les proves a l'hivern amb registres de 24h.
Procediment:
1) ajustar consigna dipòsit a T dipo=60ºC (a menys que hi hagi demandes punta a 60ºC superiors al volum acumulat)
2) ajustar velocitat bomba a mínim i valorar:
3) Si T recir &lt; 55ºC: incrementar velocitat de la bomba fins assolir T recir=55. Si no es pot, incrementar T dipo i tornar a començar a velocitat mínima
4) Si T recir &gt; 55ºC, valorar:
      cas 1:  T dipo &gt; 60ºC (per necessitats de demanda):  si tenim vàlvula mescaldora 3 vies reduir T imp fins Trecir=55ºC.
      cas 2: T dipo = 60ºC: si tenim vàlvula mescaldora 3 vies reduir T imp fins Tret=55ºC, sino, reduir cabal recirculació amb vàlvula de regulació si n'hi ha fins Tret=55, sino es pot plantejar canviar la bomba per una de menys cabal i regulació electrònica amb consigna de tmeperatura o afegir termostat de control de la bomba.</t>
        </r>
      </text>
    </comment>
    <comment ref="L53" authorId="0" shapeId="0" xr:uid="{C6152CC4-B20A-4B7F-95C6-A8D62802E0F0}">
      <text>
        <r>
          <rPr>
            <b/>
            <sz val="9"/>
            <color indexed="81"/>
            <rFont val="Tahoma"/>
            <family val="2"/>
          </rPr>
          <t>garciafra:</t>
        </r>
        <r>
          <rPr>
            <sz val="9"/>
            <color indexed="81"/>
            <rFont val="Tahoma"/>
            <family val="2"/>
          </rPr>
          <t xml:space="preserve">
segons el cabal i les pèrdues de la xarxa que es defineixen, es calcula la temperatura de retorn teòrica. 
Es pot fer servir la eina "Cerca Objectiu" per definir la Temp. d'impulsió mínima que garanteix que la aquesta temp de retorn teòrica és igual al mínim necessari:
recirculació ACS &gt; 50ºC 
Així es pot reprogramar la T impulsió a la vàlvula mescladora d'ACS general de sala tècnica. Sempre comprovar a posteriori amb mesures de temperatura real durant almenys 24h.
</t>
        </r>
      </text>
    </comment>
    <comment ref="AE53" authorId="0" shapeId="0" xr:uid="{8F60B544-80F3-46B2-93FF-E062F25255C4}">
      <text>
        <r>
          <rPr>
            <b/>
            <sz val="9"/>
            <color indexed="81"/>
            <rFont val="Tahoma"/>
            <family val="2"/>
          </rPr>
          <t>garciafra:</t>
        </r>
        <r>
          <rPr>
            <sz val="9"/>
            <color indexed="81"/>
            <rFont val="Tahoma"/>
            <family val="2"/>
          </rPr>
          <t xml:space="preserve">
segons el cabal i les pèrdues de la xarxa que es defineixen, es calcula la temperatura de retorn teòrica. 
Es pot fer servir la eina "Cerca Objectiu" per definir la Temp. d'impulsió mínima que garanteix que la aquesta temp de retorn teòrica és igual al mínim necessari:
recirculació ACS &gt; 50ºC 
Així es pot reprogramar la T impulsió a la vàlvula mescladora d'ACS general de sala tècnica. Sempre comprovar a posteriori amb mesures de temperatura real durant almenys 24h.
</t>
        </r>
      </text>
    </comment>
    <comment ref="AX53" authorId="0" shapeId="0" xr:uid="{842B9638-D987-4D68-B64D-4683E164C463}">
      <text>
        <r>
          <rPr>
            <b/>
            <sz val="9"/>
            <color indexed="81"/>
            <rFont val="Tahoma"/>
            <family val="2"/>
          </rPr>
          <t>garciafra:</t>
        </r>
        <r>
          <rPr>
            <sz val="9"/>
            <color indexed="81"/>
            <rFont val="Tahoma"/>
            <family val="2"/>
          </rPr>
          <t xml:space="preserve">
segons el cabal i les pèrdues de la xarxa que es defineixen, es calcula la temperatura de retorn teòrica. 
Es pot fer servir la eina "Cerca Objectiu" per definir la Temp. d'impulsió mínima que garanteix que la aquesta temp de retorn teòrica és igual al mínim necessari:
recirculació ACS &gt; 50ºC 
Així es pot reprogramar la T impulsió a la vàlvula mescladora d'ACS general de sala tècnica. Sempre comprovar a posteriori amb mesures de temperatura real durant almenys 24h.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<sst xmlns="http://schemas.openxmlformats.org/spreadsheetml/2006/main" count="4137" uniqueCount="1094">
  <si>
    <t>Temp impulsió</t>
  </si>
  <si>
    <t>ºC</t>
  </si>
  <si>
    <t>Hores funcionament</t>
  </si>
  <si>
    <t>Cost combustible</t>
  </si>
  <si>
    <t>€/kWh</t>
  </si>
  <si>
    <t>T mitja fluid</t>
  </si>
  <si>
    <t>T ambient interior mitjana</t>
  </si>
  <si>
    <t>Salt tèrmic interior</t>
  </si>
  <si>
    <t>T ambient exterior mitjana</t>
  </si>
  <si>
    <t>diàmetre canonada (mm)</t>
  </si>
  <si>
    <t>Salt tèrmic exterior</t>
  </si>
  <si>
    <t>salt tèrmic (ºC)</t>
  </si>
  <si>
    <t>longitud sense aïllament</t>
  </si>
  <si>
    <t>DT</t>
  </si>
  <si>
    <t>pèrdues sense aîllament</t>
  </si>
  <si>
    <t>potència pèrdues</t>
  </si>
  <si>
    <t>mm</t>
  </si>
  <si>
    <t>DN</t>
  </si>
  <si>
    <t>m</t>
  </si>
  <si>
    <t>W/m</t>
  </si>
  <si>
    <t>kW</t>
  </si>
  <si>
    <t>kWh</t>
  </si>
  <si>
    <t>1/2</t>
  </si>
  <si>
    <t>3/4</t>
  </si>
  <si>
    <t>TOTAL XARXA</t>
  </si>
  <si>
    <t>diàmetre exterior canonada (mm)</t>
  </si>
  <si>
    <t>espessor aïllament (mm)</t>
  </si>
  <si>
    <t>long amb aïllament</t>
  </si>
  <si>
    <t>espessor aïllament</t>
  </si>
  <si>
    <t>pèrdues amb aïllament</t>
  </si>
  <si>
    <t>Cu</t>
  </si>
  <si>
    <t>W/m/ºC</t>
  </si>
  <si>
    <t>kWh/any</t>
  </si>
  <si>
    <t>-</t>
  </si>
  <si>
    <t>longitud total</t>
  </si>
  <si>
    <t>pèrdues TOTALS</t>
  </si>
  <si>
    <t>cost pèrdues</t>
  </si>
  <si>
    <t>€/any</t>
  </si>
  <si>
    <t>espessor NOU aïllament</t>
  </si>
  <si>
    <t>cost unitari aïllament</t>
  </si>
  <si>
    <t>cost millora</t>
  </si>
  <si>
    <t>Cost aïllament col·locat segons espessor (mm)</t>
  </si>
  <si>
    <t>€/m</t>
  </si>
  <si>
    <t>€</t>
  </si>
  <si>
    <t>Longitud total de la xarxa:</t>
  </si>
  <si>
    <t>Pèrdues unitàries:</t>
  </si>
  <si>
    <t>Cost pèrdues</t>
  </si>
  <si>
    <t>RESUM XARXA MILLORADA</t>
  </si>
  <si>
    <t>Estalvi anual</t>
  </si>
  <si>
    <t>Amortització</t>
  </si>
  <si>
    <t>RESUM MILLORA AÏLLAMENTS</t>
  </si>
  <si>
    <t>Emissions evitades</t>
  </si>
  <si>
    <t>emissions combustible</t>
  </si>
  <si>
    <t>COST ENERGIA</t>
  </si>
  <si>
    <t>EMISSIONS</t>
  </si>
  <si>
    <t>€/kWh+IVA</t>
  </si>
  <si>
    <t>font</t>
  </si>
  <si>
    <t>kg CO2eq/kWh</t>
  </si>
  <si>
    <t>ACM promig 21-23</t>
  </si>
  <si>
    <t>FACTORES DE EMISIÓN DE CO2 Y COEFICIENTES DE PASO A ENERGÍA PRIMARIA; IDAE; 2014</t>
  </si>
  <si>
    <t>ACM 2023</t>
  </si>
  <si>
    <t>https://canviclimatic.gencat.cat/es/actua/factors_demissio_associats_a_lenergia/</t>
  </si>
  <si>
    <t>mitjana 22-24 proveidor Rellinars</t>
  </si>
  <si>
    <t>FACTORES DE EMISIÓN DE CO2 Y COEFICIENTES DE PASO A ENERGÍA PRIMARIA; IDAE; 2015</t>
  </si>
  <si>
    <t>criteri del tècnic</t>
  </si>
  <si>
    <t>kg CO2eq</t>
  </si>
  <si>
    <t>Pèrdues totals xarxa de canonades AMB AÏLLAMENT MILLORAT</t>
  </si>
  <si>
    <t>CAPACIDAD</t>
  </si>
  <si>
    <t>L</t>
  </si>
  <si>
    <t>personas</t>
  </si>
  <si>
    <t>UA</t>
  </si>
  <si>
    <t>l/d persona</t>
  </si>
  <si>
    <t>kcal/dia</t>
  </si>
  <si>
    <t>A</t>
  </si>
  <si>
    <t>kWh/dia</t>
  </si>
  <si>
    <t>W/K</t>
  </si>
  <si>
    <t>CÀLCUL DEMANDA ACS</t>
  </si>
  <si>
    <t>CÀLCUL PÈRDUES DIPOSIT ACS</t>
  </si>
  <si>
    <t>Usuaris</t>
  </si>
  <si>
    <t>Ús</t>
  </si>
  <si>
    <t>Consum</t>
  </si>
  <si>
    <t>Factor ús</t>
  </si>
  <si>
    <t>Temperatura consum</t>
  </si>
  <si>
    <t>Temperatura xarxa</t>
  </si>
  <si>
    <t>Energia ACS</t>
  </si>
  <si>
    <t>Norma DIN 4701</t>
  </si>
  <si>
    <t>Emissions de pèrdues</t>
  </si>
  <si>
    <t>Dies de funcionament</t>
  </si>
  <si>
    <t>dies</t>
  </si>
  <si>
    <t>Energia demanda ACS</t>
  </si>
  <si>
    <t>Energia dipòsit ACS</t>
  </si>
  <si>
    <t>Estalvis econòmics</t>
  </si>
  <si>
    <t>Demanda ACS</t>
  </si>
  <si>
    <t>Pèrdues dipòsit</t>
  </si>
  <si>
    <t>TOTAL</t>
  </si>
  <si>
    <t>Si s'apaga el sistema d'ACS es pot arribar a estalviar:</t>
  </si>
  <si>
    <t>Dies d'aturada</t>
  </si>
  <si>
    <t>Combustible</t>
  </si>
  <si>
    <t>kg CO2eq/any</t>
  </si>
  <si>
    <t>Costos estalviats</t>
  </si>
  <si>
    <t>Emissions estalviades</t>
  </si>
  <si>
    <t>Reducció estimada</t>
  </si>
  <si>
    <t>Energia combustible</t>
  </si>
  <si>
    <t>Pèrdues Combustible</t>
  </si>
  <si>
    <t>Combustible estalviat</t>
  </si>
  <si>
    <t>Pèrdues en canonades</t>
  </si>
  <si>
    <t>Dies funcionament</t>
  </si>
  <si>
    <t>Hores diàries</t>
  </si>
  <si>
    <t>W electrics</t>
  </si>
  <si>
    <t>Energia bombeig</t>
  </si>
  <si>
    <t>Cost electricitat</t>
  </si>
  <si>
    <t>kWh/dia/usu</t>
  </si>
  <si>
    <t>W</t>
  </si>
  <si>
    <t>Pèrdues estàtiques</t>
  </si>
  <si>
    <t>A+</t>
  </si>
  <si>
    <t>B</t>
  </si>
  <si>
    <t>C</t>
  </si>
  <si>
    <t>D</t>
  </si>
  <si>
    <t>E</t>
  </si>
  <si>
    <t>F</t>
  </si>
  <si>
    <t>G</t>
  </si>
  <si>
    <t>&gt;F</t>
  </si>
  <si>
    <t>PROHIBIT DES DE 2017</t>
  </si>
  <si>
    <t>S'indica valor màxim  de pèrdua estàtica (W) per cada clase d'eficiència i volum de dipòsit</t>
  </si>
  <si>
    <t>per sobre de 2000L no aplica la Directa ErP</t>
  </si>
  <si>
    <t>La norma d'assiag és la UNE-EN 12897:2017+A1:2020, amb acumuladro 65ºC i ambient 20ºC</t>
  </si>
  <si>
    <t>ns/nc</t>
  </si>
  <si>
    <t>Temperatura consigna dipòsit</t>
  </si>
  <si>
    <t>Temp. ambient dipòsit</t>
  </si>
  <si>
    <t>PÈRDUES ESTÀTIQUES SEGONS REGLAMENT ECODISSENY [ETIQUETAT ENERGÈTIC CONFORME REGLAMENT DELEGAT UE 812/2013]</t>
  </si>
  <si>
    <t>litros</t>
  </si>
  <si>
    <t>Nova consigna dipòsit</t>
  </si>
  <si>
    <t>kWh/any/ºC</t>
  </si>
  <si>
    <t>€/any/ºC</t>
  </si>
  <si>
    <t>Millora per cada ºC:</t>
  </si>
  <si>
    <t>Cost mesura:</t>
  </si>
  <si>
    <t>Amortització:</t>
  </si>
  <si>
    <t>mesos</t>
  </si>
  <si>
    <t>uts</t>
  </si>
  <si>
    <t>Capacitat total</t>
  </si>
  <si>
    <t>Consum diari</t>
  </si>
  <si>
    <t>l/dia</t>
  </si>
  <si>
    <t>EQUIPAMENT</t>
  </si>
  <si>
    <t>ANY</t>
  </si>
  <si>
    <t>Electricitat</t>
  </si>
  <si>
    <t>Gas Natural</t>
  </si>
  <si>
    <t>Gasoil C</t>
  </si>
  <si>
    <t>GLP</t>
  </si>
  <si>
    <t>mitjana ventes CEPSA a escola publica provincia BCN</t>
  </si>
  <si>
    <t>FACTORES DE EMISIÓN DE CO2 Y COEFICIENTES DE PASO A ENERGÍA PRIMARIA; IDAE; 2016</t>
  </si>
  <si>
    <t>Biomassa</t>
  </si>
  <si>
    <t>Estella ALEO 2022</t>
  </si>
  <si>
    <t>Pèl·let</t>
  </si>
  <si>
    <t>Emissions totals</t>
  </si>
  <si>
    <t>Cost total anual</t>
  </si>
  <si>
    <t>€/litre</t>
  </si>
  <si>
    <t>CÀLCUL PÈRDUES TERMIQUES EN CANONADES</t>
  </si>
  <si>
    <t>Pèrdues en combustible:</t>
  </si>
  <si>
    <t>RESUM XARXA EXISTENT</t>
  </si>
  <si>
    <t>Longitud canonada millorada</t>
  </si>
  <si>
    <t>ON</t>
  </si>
  <si>
    <t>T</t>
  </si>
  <si>
    <t>Codi</t>
  </si>
  <si>
    <t>Descripció</t>
  </si>
  <si>
    <t>Preu</t>
  </si>
  <si>
    <t>Quantitat</t>
  </si>
  <si>
    <t>Import</t>
  </si>
  <si>
    <t>place</t>
  </si>
  <si>
    <t>MO</t>
  </si>
  <si>
    <t>A012M000</t>
  </si>
  <si>
    <t>A0F-000R</t>
  </si>
  <si>
    <t>Oficial 1a muntador</t>
  </si>
  <si>
    <t>29,57 € / h</t>
  </si>
  <si>
    <t>x</t>
  </si>
  <si>
    <t>0,09 h</t>
  </si>
  <si>
    <t>=</t>
  </si>
  <si>
    <t>A013M000</t>
  </si>
  <si>
    <t>A01-FEPH</t>
  </si>
  <si>
    <t>Ajudant muntador</t>
  </si>
  <si>
    <t>25,40 € / h</t>
  </si>
  <si>
    <t>MAT</t>
  </si>
  <si>
    <t>BFQ3G85A</t>
  </si>
  <si>
    <t>BFQ0-0DCV</t>
  </si>
  <si>
    <t>Aïllament tèrmic d'escuma elastomèrica amb revestiment de PVC per a canonades que transporten fluids a temperatura entre -50°C i 105°C, per a tub de diàmetre exterior 15 mm, de 19 mm de gruix, classe de reacció al foc BL-s2, d0 segons norma UNE-EN 13501-1</t>
  </si>
  <si>
    <t>6,24 € / m</t>
  </si>
  <si>
    <t>1,02 m</t>
  </si>
  <si>
    <t>BFYQ3040</t>
  </si>
  <si>
    <t>BFY3-065N</t>
  </si>
  <si>
    <t>Part proporcional d'elements de muntatge per a aïllament tèrmic d'escuma elastomèrica, de 19 mm de gruix</t>
  </si>
  <si>
    <t>0,13 € / u</t>
  </si>
  <si>
    <t>1 u</t>
  </si>
  <si>
    <t>AUX</t>
  </si>
  <si>
    <t>A%AUX001</t>
  </si>
  <si>
    <t>Despeses auxiliars sobre la mà d'obra</t>
  </si>
  <si>
    <t>Total  4,95 €  6,49 €  0,07 €</t>
  </si>
  <si>
    <t>Cost directe</t>
  </si>
  <si>
    <t>€ / m</t>
  </si>
  <si>
    <t>Aïllament tèrmic d'escuma elastomèrica per a canonades que transporten fluids a temperatura entre -50°C i 105°C, per a tub de diàmetre exterior 54 mm, de 19 mm de gruix, classe de reacció al foc BL-s2, d0 segons norma UNE-EN 13501-1, amb un factor de resistència a la difusió del vapor d'aigua &gt;= 5000, col·locat superficialment amb grau de dificultat mitjà</t>
  </si>
  <si>
    <r>
      <t>keyboard_arrow_down</t>
    </r>
    <r>
      <rPr>
        <sz val="9"/>
        <color rgb="FFFFFFFF"/>
        <rFont val="Arial"/>
        <family val="2"/>
      </rPr>
      <t> </t>
    </r>
    <r>
      <rPr>
        <b/>
        <sz val="9"/>
        <color rgb="FFFFFFFF"/>
        <rFont val="Arial"/>
        <family val="2"/>
      </rPr>
      <t>JUSTIFICACIÓ DE PREUS</t>
    </r>
  </si>
  <si>
    <t>0,12 h</t>
  </si>
  <si>
    <t>BFQ328EA</t>
  </si>
  <si>
    <t>BFQ0-0DGB</t>
  </si>
  <si>
    <t>Aïllament tèrmic d'escuma elastomèrica per a canonades que transporten fluids a temperatura entre -50°C i 105°C, per a tub de diàmetre exterior 54 mm, de 19 mm de gruix, classe de reacció al foc BL-s2, d0 segons norma UNE-EN 13501-1, amb un factor de resistència a la difusió del vapor d'aigua &gt;= 5000</t>
  </si>
  <si>
    <t>10,89 € / m</t>
  </si>
  <si>
    <t>Total  6,60 €  11,24 €  0,10 €</t>
  </si>
  <si>
    <t>Aïllament tèrmic d'escuma elastomèrica per a canonades que transporten fluids a temperatura entre -50°C i 105°C, per a tub de diàmetre exterior 22 mm, de 32 mm de gruix, classe de reacció al foc BL-s2, d0 segons norma UNE-EN 13501-1, amb un factor de resistència a la difusió del vapor d'aigua &gt;= 7000, col·locat superficialment amb grau de dificultat mitjà</t>
  </si>
  <si>
    <t>BFQ33C7A</t>
  </si>
  <si>
    <t>BFQ0-0DGP</t>
  </si>
  <si>
    <t>Aïllament tèrmic d'escuma elastomèrica per a canonades que transporten fluids a temperatura entre -50°C i 105°C, per a tub de diàmetre exterior 22 mm, de 32 mm de gruix, classe de reacció al foc BL-s2, d0 segons norma UNE-EN 13501-1, amb un factor de resistència a la difusió del vapor d'aigua &gt;= 7000</t>
  </si>
  <si>
    <t>7,27 € / m</t>
  </si>
  <si>
    <t>BFYQ3080</t>
  </si>
  <si>
    <t>BFY3-065L</t>
  </si>
  <si>
    <t>Part proporcional d'elements de muntatge per a aïllament tèrmic d'escuma elastomèrica, de 32 mm de gruix</t>
  </si>
  <si>
    <t>0,22 € / u</t>
  </si>
  <si>
    <t>Total  4,95 €  7,64 €  0,07 €</t>
  </si>
  <si>
    <t>Aïllament tèrmic d'escuma elastomèrica per a canonades que transporten fluids a temperatura entre -50°C i 105°C, per a tub de diàmetre exterior 54 mm, de 32 mm de gruix, classe de reacció al foc BL-s2, d0 segons norma UNE-EN 13501-1, amb un factor de resistència a la difusió del vapor d'aigua &gt;= 7000, col·locat superficialment amb grau de dificultat mitjà</t>
  </si>
  <si>
    <t>BFQ33CEA</t>
  </si>
  <si>
    <t>BFQ0-0DGY</t>
  </si>
  <si>
    <t>Aïllament tèrmic d'escuma elastomèrica per a canonades que transporten fluids a temperatura entre -50°C i 105°C, per a tub de diàmetre exterior 54 mm, de 32 mm de gruix, classe de reacció al foc BL-s2, d0 segons norma UNE-EN 13501-1, amb un factor de resistència a la difusió del vapor d'aigua &gt;= 7000</t>
  </si>
  <si>
    <t>12,74 € / m</t>
  </si>
  <si>
    <t>Total  6,60 €  13,21 €  0,10 €</t>
  </si>
  <si>
    <t>19mm</t>
  </si>
  <si>
    <t>32mm</t>
  </si>
  <si>
    <t>40mm</t>
  </si>
  <si>
    <t>Aïllament tèrmic d'escuma elastomèrica per a canonades que transporten fluids a temperatura entre -50°C i 105°C, per a tub de diàmetre exterior 22 mm, de 40 mm de gruix, classe de reacció al foc BL-s2, d0 segons norma UNE-EN 13501-1, amb un factor de resistència a la difusió del vapor d'aigua &gt;= 7000, col·locat superficialment amb grau de dificultat mitjà</t>
  </si>
  <si>
    <t>BFQ33E7A</t>
  </si>
  <si>
    <t>BFQ0-0DH3</t>
  </si>
  <si>
    <t>Aïllament tèrmic d'escuma elastomèrica per a canonades que transporten fluids a temperatura entre -50°C i 105°C, per a tub de diàmetre exterior 22 mm, de 40 mm de gruix, classe de reacció al foc BL-s2, d0 segons norma UNE-EN 13501-1, amb un factor de resistència a la difusió del vapor d'aigua &gt;= 7000</t>
  </si>
  <si>
    <t>13,23 € / m</t>
  </si>
  <si>
    <t>BFYQ3090</t>
  </si>
  <si>
    <t>BFY3-065O</t>
  </si>
  <si>
    <t>Part proporcional d'elements de muntatge per a aïllament tèrmic d'escuma elastomèrica, de 40 mm de gruix</t>
  </si>
  <si>
    <t>0,27 € / u</t>
  </si>
  <si>
    <t>Total  4,95 €  13,76 €  0,07 €</t>
  </si>
  <si>
    <t>Aïllament tèrmic d'escuma elastomèrica per a canonades que transporten fluids a temperatura entre -50°C i 105°C, per a tub de diàmetre exterior 54 mm, de 40 mm de gruix, classe de reacció al foc BL-s2, d0 segons norma UNE-EN 13501-1, amb un factor de resistència a la difusió del vapor d'aigua &gt;= 7000, col·locat superficialment amb grau de dificultat mitjà</t>
  </si>
  <si>
    <t>BFQ33EEA</t>
  </si>
  <si>
    <t>BFQ0-0DKL</t>
  </si>
  <si>
    <t>Aïllament tèrmic d'escuma elastomèrica per a canonades que transporten fluids a temperatura entre -50°C i 105°C, per a tub de diàmetre exterior 54 mm, de 40 mm de gruix, classe de reacció al foc BL-s2, d0 segons norma UNE-EN 13501-1, amb un factor de resistència a la difusió del vapor d'aigua &gt;= 7000</t>
  </si>
  <si>
    <t>21,62 € / m</t>
  </si>
  <si>
    <t>Total  6,60 €  22,32 €  0,10 €</t>
  </si>
  <si>
    <t>50mm</t>
  </si>
  <si>
    <t>Aïllament tèrmic d'escuma elastomèrica per a canonades que transporten fluids a temperatura entre -50°C i 105°C, per a tub de diàmetre exterior 22 mm, de 50 mm de gruix, classe de reacció al foc BL-s2, d0 segons norma UNE-EN 13501-1, amb un factor de resistència a la difusió del vapor d'aigua &gt;= 7000, col·locat superficialment amb grau de dificultat mitjà</t>
  </si>
  <si>
    <t>BFQ33G7A</t>
  </si>
  <si>
    <t>BFQ0-0DHA</t>
  </si>
  <si>
    <t>Aïllament tèrmic d'escuma elastomèrica per a canonades que transporten fluids a temperatura entre -50°C i 105°C, per a tub de diàmetre exterior 22 mm, de 50 mm de gruix, classe de reacció al foc BL-s2, d0 segons norma UNE-EN 13501-1, amb un factor de resistència a la difusió del vapor d'aigua &gt;= 7000</t>
  </si>
  <si>
    <t>27,20 € / m</t>
  </si>
  <si>
    <t>BFYQ30A0</t>
  </si>
  <si>
    <t>BFY3-065H</t>
  </si>
  <si>
    <t>Part proporcional d'elements de muntatge per a aïllament tèrmic d'escuma elastomèrica, de 50 mm de gruix</t>
  </si>
  <si>
    <t>0,35 € / u</t>
  </si>
  <si>
    <t>Total  4,95 €  28,09 €  0,07 €</t>
  </si>
  <si>
    <t>Aïllament tèrmic d'escuma elastomèrica per a canonades que transporten fluids a temperatura entre -50°C i 105°C, per a tub de diàmetre exterior 54 mm, de 50 mm de gruix, classe de reacció al foc BL-s2, d0 segons norma UNE-EN 13501-1, amb un factor de resistència a la difusió del vapor d'aigua &gt;= 7000, col·locat superficialment amb grau de dificultat mitjà</t>
  </si>
  <si>
    <t>BFQ33GEA</t>
  </si>
  <si>
    <t>BFQ0-0DKU</t>
  </si>
  <si>
    <t>Aïllament tèrmic d'escuma elastomèrica per a canonades que transporten fluids a temperatura entre -50°C i 105°C, per a tub de diàmetre exterior 54 mm, de 50 mm de gruix, classe de reacció al foc BL-s2, d0 segons norma UNE-EN 13501-1, amb un factor de resistència a la difusió del vapor d'aigua &gt;= 7000</t>
  </si>
  <si>
    <t>35,23 € / m</t>
  </si>
  <si>
    <t>Total  6,60 €  36,28 €  0,10 €</t>
  </si>
  <si>
    <t>TAULES D'INFORMACIÓ</t>
  </si>
  <si>
    <t>NO MANIPULAR</t>
  </si>
  <si>
    <r>
      <t xml:space="preserve">Pèrdues tèrmiques en </t>
    </r>
    <r>
      <rPr>
        <b/>
        <sz val="11"/>
        <color theme="1"/>
        <rFont val="Calibri"/>
        <family val="2"/>
      </rPr>
      <t>W/m/ºC</t>
    </r>
    <r>
      <rPr>
        <sz val="11"/>
        <color theme="1"/>
        <rFont val="Calibri"/>
        <family val="2"/>
      </rPr>
      <t xml:space="preserve"> de canonades </t>
    </r>
    <r>
      <rPr>
        <b/>
        <sz val="11"/>
        <color theme="1"/>
        <rFont val="Calibri"/>
        <family val="2"/>
      </rPr>
      <t>amb aïllament</t>
    </r>
    <r>
      <rPr>
        <sz val="11"/>
        <color theme="1"/>
        <rFont val="Calibri"/>
        <family val="2"/>
      </rPr>
      <t xml:space="preserve"> de conductivitat 0,04 W/m/K</t>
    </r>
  </si>
  <si>
    <t>Cost aïllament tipus coquilla elastomèrica €/m (preus PEM segons BEDEC 2024 en gris, la resta extrapolats)</t>
  </si>
  <si>
    <t>RITE, espessors d'aïllament mínims</t>
  </si>
  <si>
    <t>estalvi anual</t>
  </si>
  <si>
    <t>cost</t>
  </si>
  <si>
    <t>Reducció consigna dipòsit</t>
  </si>
  <si>
    <t>%</t>
  </si>
  <si>
    <t>Millora aïllament canonades</t>
  </si>
  <si>
    <t>XARXA HIDRÀULICA ACTUAL</t>
  </si>
  <si>
    <t>ACTUAL</t>
  </si>
  <si>
    <t>PROPOSTA</t>
  </si>
  <si>
    <t>Temp impulsió
ºC</t>
  </si>
  <si>
    <t>Energia pèrdues conjunt</t>
  </si>
  <si>
    <t>Electricitat estalviada</t>
  </si>
  <si>
    <t>Energia estalviada</t>
  </si>
  <si>
    <t>Cal aproximar els valors reals als mínims normatius sempre que sigui possible:</t>
  </si>
  <si>
    <t>OBJECTIU</t>
  </si>
  <si>
    <t>INSTRUCCIONS</t>
  </si>
  <si>
    <t>L'objectiu d'aquesta eina és fer càlculs teòrics de demanda d'ACS i pèrdues tèrmiques en l'acumulació  i les xarxes de recirculació.</t>
  </si>
  <si>
    <t>Rendiment caldera: estimació del rendiment</t>
  </si>
  <si>
    <t>dies ús: indica per cada concepte els dies de l'any que funciona. En general la demanda d'Acs introduir els dies d'obertura del centre, a les pèrdues indicar 365, llevat que s'aturi el sistema alguns dies.</t>
  </si>
  <si>
    <t>Estimació estalvis per apagada del sistema en període vacacional: indicar els dies que es podria aturar el sistema. Principalment a les vacances estivals. Cal programar el tractament de legionel·la en la rearrencada posterior.</t>
  </si>
  <si>
    <t>Omplir les dades verdes per estimar la demanda d'energia en ACS.</t>
  </si>
  <si>
    <t>Omplir les dades verdes per estimar les pèrdues dels dipòsits.</t>
  </si>
  <si>
    <t>Estimació estalvis per reducció consigna dipòsit: indicar consigna proposta (mínim 60ºC) per estimar l'estalvi</t>
  </si>
  <si>
    <t>Per cada despesa energètica: demanda, pèrdues de dipòsit i de xarxa, i cada vector energètic (combustible i electricitat) es resumeix l'energia requerida, el cost i les emissions. El consum de combustible es grafica per veure visualment el pes de cada despesa sobre el total. Si les pèrdues són molt superiors a la demanda és un sistema ineficient i cal buscar la manera de millorar.</t>
  </si>
  <si>
    <t>Una estratègia és aturar el sistema en els tancaments perllongats per vacances, sempre i quan s'assumeixi que a la posta en marxa caldrà aplicar els protocol de desinfecció de legionel·la (buidada de dipòsit i xoc tèrmic com a mínim).</t>
  </si>
  <si>
    <t>El quadre de resum de mesures d'estalvi trasllada els resultats dels càlculs de les mesures d'estalvi de cada pestanya, i el gràfic en compara l'eficàcia de cada una en reducció de kWh.</t>
  </si>
  <si>
    <t>Comentaris, dubtes i esmenes: escriure a garciafra@diba.cat</t>
  </si>
  <si>
    <t>W/ºC</t>
  </si>
  <si>
    <t>Pèrdues segons DT</t>
  </si>
  <si>
    <t>Cabal recirculació</t>
  </si>
  <si>
    <t>litres/h</t>
  </si>
  <si>
    <t>cost combustible</t>
  </si>
  <si>
    <t>Recirculació:</t>
  </si>
  <si>
    <t>Potència bomba</t>
  </si>
  <si>
    <t>hores/any</t>
  </si>
  <si>
    <t>T retorn teorica</t>
  </si>
  <si>
    <t>Temperatures:</t>
  </si>
  <si>
    <t>Paràmetres:</t>
  </si>
  <si>
    <t>Energia total</t>
  </si>
  <si>
    <t>litres</t>
  </si>
  <si>
    <t>CONSUM TÈRMIC</t>
  </si>
  <si>
    <t>capacitat</t>
  </si>
  <si>
    <t>quantitat</t>
  </si>
  <si>
    <t>Classe</t>
  </si>
  <si>
    <t>A-F</t>
  </si>
  <si>
    <t>Dipòsit A</t>
  </si>
  <si>
    <t>Dipòsit B</t>
  </si>
  <si>
    <t>UA total</t>
  </si>
  <si>
    <r>
      <t xml:space="preserve">Pèrdues tèrmiques en </t>
    </r>
    <r>
      <rPr>
        <b/>
        <sz val="11"/>
        <color theme="1"/>
        <rFont val="Calibri"/>
        <family val="2"/>
      </rPr>
      <t>W/m</t>
    </r>
    <r>
      <rPr>
        <sz val="11"/>
        <color theme="1"/>
        <rFont val="Calibri"/>
        <family val="2"/>
      </rPr>
      <t xml:space="preserve"> segons salt tèrmic entre temperatura mitjana del fluid i temperatura ambient en </t>
    </r>
    <r>
      <rPr>
        <b/>
        <sz val="11"/>
        <color theme="1"/>
        <rFont val="Calibri"/>
        <family val="2"/>
      </rPr>
      <t>canonada sense aïllar</t>
    </r>
    <r>
      <rPr>
        <sz val="11"/>
        <color theme="1"/>
        <rFont val="Calibri"/>
        <family val="2"/>
      </rPr>
      <t xml:space="preserve"> (D 15mm estimat)</t>
    </r>
  </si>
  <si>
    <t>Pèrdues recirculació</t>
  </si>
  <si>
    <t>Pèrdues tèrmiques de xarxa de canonades SENSE aïllament a l'EXTERIOR</t>
  </si>
  <si>
    <t>Pèrdues tèrmiques de xarxa de canonades SENSE aïllament a l'INTERIOR</t>
  </si>
  <si>
    <t>Pèrdues tèrmiques de xarxa de canonades AMB aïllament a l'EXTERIOR</t>
  </si>
  <si>
    <t>Pèrdues tèrmiques de xarxa de canonades AMB aïllament a l'INTERIOR</t>
  </si>
  <si>
    <t>Accions de millora sobre canonades NO aïllades a l'EXTERIOR</t>
  </si>
  <si>
    <t>Accions de millora sobre canonades NO aïllades a l'INTERIOR</t>
  </si>
  <si>
    <t>L'aillament a l'exterior inclou un sobrecost del 30%  pel tractament amb pintura de protecció UV i agents atmosfèrics</t>
  </si>
  <si>
    <t>SENSE AILLAR</t>
  </si>
  <si>
    <t>AILLAT</t>
  </si>
  <si>
    <t>EXTERIOR</t>
  </si>
  <si>
    <t>INTERIOR</t>
  </si>
  <si>
    <t>SENSE AÏLLAR</t>
  </si>
  <si>
    <t>longitud
EXTERIOR</t>
  </si>
  <si>
    <t>longitud
INTERIOR</t>
  </si>
  <si>
    <t>espessor aïllament
EXTERIOR</t>
  </si>
  <si>
    <t>espessor aïllament
INTERIOR</t>
  </si>
  <si>
    <t>Longitud de canonades i espessor d'aïllaments a l'EXTERIOR i l'INTERIOR de l'edifici</t>
  </si>
  <si>
    <t>diàmetre canonada</t>
  </si>
  <si>
    <t>Dipòsit C</t>
  </si>
  <si>
    <r>
      <t xml:space="preserve">T dipòsit ACS </t>
    </r>
    <r>
      <rPr>
        <sz val="11"/>
        <color theme="1"/>
        <rFont val="Aptos Narrow"/>
        <family val="2"/>
      </rPr>
      <t xml:space="preserve">≥ </t>
    </r>
    <r>
      <rPr>
        <sz val="11"/>
        <color theme="1"/>
        <rFont val="Calibri"/>
        <family val="2"/>
      </rPr>
      <t>60ºC</t>
    </r>
  </si>
  <si>
    <t>DEMANDA ANUAL ACS</t>
  </si>
  <si>
    <t>ACUMULADORS D'ACS</t>
  </si>
  <si>
    <t>SISTEMA DE RECIRCULACIÓ D'ACS</t>
  </si>
  <si>
    <t>Temp impulsió recirculació</t>
  </si>
  <si>
    <t>T ambient interior mitjana anual</t>
  </si>
  <si>
    <t>T ambient exterior mitjana anual</t>
  </si>
  <si>
    <t>Potència bomba recirculació</t>
  </si>
  <si>
    <t>Bombeig de recirculació</t>
  </si>
  <si>
    <t>AMB AÏLLAMENT</t>
  </si>
  <si>
    <t>CONSUM ELÈCTRIC SIST AUX</t>
  </si>
  <si>
    <t>TOTAL ENERGIA FINAL</t>
  </si>
  <si>
    <t>SISTEMA ACTUAL ACS</t>
  </si>
  <si>
    <t>Rendiment generador</t>
  </si>
  <si>
    <r>
      <t xml:space="preserve">T retorn recirculació ACS </t>
    </r>
    <r>
      <rPr>
        <sz val="11"/>
        <color theme="1"/>
        <rFont val="Aptos Narrow"/>
        <family val="2"/>
      </rPr>
      <t>≥</t>
    </r>
    <r>
      <rPr>
        <sz val="11"/>
        <color theme="1"/>
        <rFont val="Calibri"/>
        <family val="2"/>
      </rPr>
      <t xml:space="preserve"> 50ºC</t>
    </r>
  </si>
  <si>
    <t>L'objectiu és reduir temperatura de treball del dipòsit ACS per reduir les pèrdues tèrmiques.</t>
  </si>
  <si>
    <t>L'objectiu és reduir temperatura de treball a canonades ACS per reduir les pèrdues tèrmiques.</t>
  </si>
  <si>
    <t>Si s'atura el sistema d'ACS fent coincidir l'arrencada amb la neteja de prevenció de legionel·losis, s'estalvien pèrdues tèrmiques durant tot el període:</t>
  </si>
  <si>
    <t>Indicar el període de vacances més llarg que es fa a l'equipament.</t>
  </si>
  <si>
    <t>DT promig</t>
  </si>
  <si>
    <t>Caldera</t>
  </si>
  <si>
    <t>Bomba Calor</t>
  </si>
  <si>
    <t>Potència generador</t>
  </si>
  <si>
    <t>Pot. elèctrica sist. Aux.</t>
  </si>
  <si>
    <t>emissions electricitat</t>
  </si>
  <si>
    <t>Tipus generador</t>
  </si>
  <si>
    <t>Caldera instantània</t>
  </si>
  <si>
    <t>DADES DEL GENERADOR D'ACS</t>
  </si>
  <si>
    <t>persones</t>
  </si>
  <si>
    <t>Energia elec auxiliar</t>
  </si>
  <si>
    <t>€/dia</t>
  </si>
  <si>
    <t>Cost dia</t>
  </si>
  <si>
    <t>Energia elèctrica auxiliar</t>
  </si>
  <si>
    <t>Cost pèrdues total</t>
  </si>
  <si>
    <t>Emissions total pèrdues</t>
  </si>
  <si>
    <t>% d'estalvi (sobre pèrdues xarxa)</t>
  </si>
  <si>
    <t>Hores diàries funcionament</t>
  </si>
  <si>
    <t>Cal aproximar els valors de consigna als mínims normatius sempre que sigui possible:</t>
  </si>
  <si>
    <t>potència pèrdues
kW</t>
  </si>
  <si>
    <t>T retorn
ºC</t>
  </si>
  <si>
    <t>Configuració actual</t>
  </si>
  <si>
    <t>Configuració proposada</t>
  </si>
  <si>
    <t>Pèrdues combustible
kWh/any</t>
  </si>
  <si>
    <t>Pèrdues elec aux
kWh</t>
  </si>
  <si>
    <t>ESTALVI</t>
  </si>
  <si>
    <t>Estalvis energia</t>
  </si>
  <si>
    <t>Elec sist aux</t>
  </si>
  <si>
    <t>actual</t>
  </si>
  <si>
    <t>proposada</t>
  </si>
  <si>
    <t>Estalvi</t>
  </si>
  <si>
    <t>combustible estalviat</t>
  </si>
  <si>
    <t>electricitat estalviada</t>
  </si>
  <si>
    <t>Millora aïllament dipòsits</t>
  </si>
  <si>
    <t>NOVA UA total</t>
  </si>
  <si>
    <t>Aturada sistema en vacances</t>
  </si>
  <si>
    <t>Reducció demanda ACS</t>
  </si>
  <si>
    <t>Reducció temperatura recirculació</t>
  </si>
  <si>
    <t>retorn</t>
  </si>
  <si>
    <t>Actuació de millora</t>
  </si>
  <si>
    <t>NOTA: els estalvis de cada actuació de millora s'han calculat com actuació individual. Algunes actuacions tindran menys impacte si s'executen conjuntament amb altres (p.e. la reducció de temp. d'impulsió té molt impacte amb xarxes mal aïllades, però si s'aïlla l'impacte és menor)</t>
  </si>
  <si>
    <t>ACTUACIONS DE MILLORA ENERGÈTICA</t>
  </si>
  <si>
    <t>2. Reducció del consum d'ACS</t>
  </si>
  <si>
    <t>1. Aturada del sistema d'ACS en períodes vacacional</t>
  </si>
  <si>
    <t>3. Reducció de la temperatura del dipòsit d'ACS</t>
  </si>
  <si>
    <t>6. Millora de l'aïllament de dipòsits</t>
  </si>
  <si>
    <t>4. Reducció de la temperatura de la recirculació</t>
  </si>
  <si>
    <t>5. Millora de l'aillament de canonades</t>
  </si>
  <si>
    <t xml:space="preserve">Escollir la classe d'eficiència energètica desitjada per cada tipus de dipòsit i s'estimarà l'estalvi d'energia. Cal indicar el cost de la mesura. </t>
  </si>
  <si>
    <t>Si no es vol valorar aquesta millora deixar en blanc la "classe proposada".</t>
  </si>
  <si>
    <t>Es comptabilitza de manera automàtica incorporar aïllament conforme al RITE a les canonades que no en tenen. S'estimen els costos d'aïllament automàticament.</t>
  </si>
  <si>
    <t>SISTEMA ALTERNATIU 1</t>
  </si>
  <si>
    <t>Efecte joule</t>
  </si>
  <si>
    <t>Litres Consum</t>
  </si>
  <si>
    <t>energètica</t>
  </si>
  <si>
    <t>Si el sistema no disposa de recirculació, posar tots els valors a 0 o suprimir el contingut.</t>
  </si>
  <si>
    <t>RESULTATS ALTERNATIVA 1</t>
  </si>
  <si>
    <t>Nom alternativa</t>
  </si>
  <si>
    <t>kWh termic</t>
  </si>
  <si>
    <t>kWh elec</t>
  </si>
  <si>
    <t>total</t>
  </si>
  <si>
    <t>ENERGIA CONSUMIDA</t>
  </si>
  <si>
    <t>SISTEMA ALTERNATIU 2</t>
  </si>
  <si>
    <t>SISTEMA ALTERNATIU 3</t>
  </si>
  <si>
    <t>CAS BASE</t>
  </si>
  <si>
    <t>ALTERNATIVES</t>
  </si>
  <si>
    <t>Xarxa de calor</t>
  </si>
  <si>
    <t>Nom cas actual</t>
  </si>
  <si>
    <t>COSTOS</t>
  </si>
  <si>
    <t>Cost d'inversió</t>
  </si>
  <si>
    <t>Cost manteniment</t>
  </si>
  <si>
    <t>Vida útil</t>
  </si>
  <si>
    <t>anys</t>
  </si>
  <si>
    <t>LCOE</t>
  </si>
  <si>
    <t>Cost energia</t>
  </si>
  <si>
    <t xml:space="preserve">€/kWh </t>
  </si>
  <si>
    <t>cost especific energia</t>
  </si>
  <si>
    <t>estalvi energia</t>
  </si>
  <si>
    <t>RESULTATS ALTERNATIVA 3</t>
  </si>
  <si>
    <t>RESULTATS ALTERNATIVA 2</t>
  </si>
  <si>
    <t>RESULTATS SISTEMA ACTUAL</t>
  </si>
  <si>
    <t>Cost d'inversió renovació</t>
  </si>
  <si>
    <t>Si es volen fer càlculs de retorn econòmic o comparatives de costos d'explotació cal indicar el cost (PEC+IVA) de la renovació del sistema:</t>
  </si>
  <si>
    <t>Energia consumida</t>
  </si>
  <si>
    <t>ROI renovació</t>
  </si>
  <si>
    <t>ROI millora energètica</t>
  </si>
  <si>
    <t>ROI millora</t>
  </si>
  <si>
    <t>Cost d'inversió millores</t>
  </si>
  <si>
    <t>Cost d'inversió o renovació</t>
  </si>
  <si>
    <t>ESTIMACIÓ DE CONSUM ENERGÈTIC DEL SISTEMA ACTUAL</t>
  </si>
  <si>
    <t>ACTUACIONS DE MILLORA ENERGÈTICA DEL SISTEMA ACTUAL</t>
  </si>
  <si>
    <t>COMPARATIVA ENERGÈTICA I ECONÒMICA DELS SISTEMES ALTERNATIUS</t>
  </si>
  <si>
    <t>Cost aïllaments PEC+IVA</t>
  </si>
  <si>
    <t>ESTIMACIÓ DE CONSUM ENERGÈTIC ACTUAL I ALTERNATIVES ENERGÈTIQUES</t>
  </si>
  <si>
    <t xml:space="preserve"> </t>
  </si>
  <si>
    <t>Si no hi ha acumuladors d'ACS deixar en blanc el quadre. En el cas de bomba de calor o biomassa afegir dipòsits d'inèrcia.</t>
  </si>
  <si>
    <t>BOMBA DE CALOR</t>
  </si>
  <si>
    <t>COP A7/W65</t>
  </si>
  <si>
    <t>Fc</t>
  </si>
  <si>
    <t>A3</t>
  </si>
  <si>
    <t>A4</t>
  </si>
  <si>
    <t>B3</t>
  </si>
  <si>
    <t>B4</t>
  </si>
  <si>
    <t>C1</t>
  </si>
  <si>
    <t>C2</t>
  </si>
  <si>
    <t>C3</t>
  </si>
  <si>
    <t>C4</t>
  </si>
  <si>
    <t>D1</t>
  </si>
  <si>
    <t>D2</t>
  </si>
  <si>
    <t>D3</t>
  </si>
  <si>
    <t>E1</t>
  </si>
  <si>
    <t>Clima CTE</t>
  </si>
  <si>
    <t>SCOPdhw</t>
  </si>
  <si>
    <t>COP A7/W55</t>
  </si>
  <si>
    <t>Municipi</t>
  </si>
  <si>
    <t>Població (01/01/2023)</t>
  </si>
  <si>
    <t>Comarca</t>
  </si>
  <si>
    <t>Consell comarcal</t>
  </si>
  <si>
    <t>Altitud (m)</t>
  </si>
  <si>
    <t>Zona climàtica CTE</t>
  </si>
  <si>
    <t>Abrera</t>
  </si>
  <si>
    <t>Baix Llobregat</t>
  </si>
  <si>
    <t>Consell comarcal del Baix Llobregat</t>
  </si>
  <si>
    <t>Aguilar de Segarra</t>
  </si>
  <si>
    <t>Bages</t>
  </si>
  <si>
    <t>Consell comarcal del Bages</t>
  </si>
  <si>
    <t>Aiguafreda</t>
  </si>
  <si>
    <t>Vallès Oriental</t>
  </si>
  <si>
    <t>Consell comarcal del Vallès Oriental</t>
  </si>
  <si>
    <t>Alella</t>
  </si>
  <si>
    <t>Maresme</t>
  </si>
  <si>
    <t>Consell comarcal del Maresme</t>
  </si>
  <si>
    <t>Alpens</t>
  </si>
  <si>
    <t>Lluçanès *</t>
  </si>
  <si>
    <t>Consell comarcal d'Osona</t>
  </si>
  <si>
    <t>Arenys de Mar</t>
  </si>
  <si>
    <t>Arenys de Munt</t>
  </si>
  <si>
    <t>Argençola</t>
  </si>
  <si>
    <t>Anoia</t>
  </si>
  <si>
    <t>Consell comarcal de l'Anoia</t>
  </si>
  <si>
    <t>Argentona</t>
  </si>
  <si>
    <t>Artés</t>
  </si>
  <si>
    <t>Avià</t>
  </si>
  <si>
    <t>Berguedà</t>
  </si>
  <si>
    <t>Consell comarcal del Berguedà</t>
  </si>
  <si>
    <t>Avinyó</t>
  </si>
  <si>
    <t>Avinyonet del Penedès</t>
  </si>
  <si>
    <t>Alt Penedès</t>
  </si>
  <si>
    <t>Consell comarcal de l'Alt Penedès</t>
  </si>
  <si>
    <t>Badalona</t>
  </si>
  <si>
    <t>Barcelonès</t>
  </si>
  <si>
    <t>Consell comarcal del Barcelonès</t>
  </si>
  <si>
    <t>Badia del Vallès</t>
  </si>
  <si>
    <t>Vallès Occidental</t>
  </si>
  <si>
    <t>Consell comarcal del Vallès Occidental</t>
  </si>
  <si>
    <t>Bagà</t>
  </si>
  <si>
    <t>Balenyà</t>
  </si>
  <si>
    <t>Osona</t>
  </si>
  <si>
    <t>Balsareny</t>
  </si>
  <si>
    <t>Barberà del Vallès</t>
  </si>
  <si>
    <t>Barcelona</t>
  </si>
  <si>
    <t>Begues</t>
  </si>
  <si>
    <t>Bellprat</t>
  </si>
  <si>
    <t>Berga</t>
  </si>
  <si>
    <t>Bigues i Riells</t>
  </si>
  <si>
    <t>Borredà</t>
  </si>
  <si>
    <t>Cabrera d'Anoia</t>
  </si>
  <si>
    <t>Cabrera de Mar</t>
  </si>
  <si>
    <t>Cabrils</t>
  </si>
  <si>
    <t>Calaf</t>
  </si>
  <si>
    <t>Calders</t>
  </si>
  <si>
    <t>Moianès</t>
  </si>
  <si>
    <t>Consell comarcal del Moianès</t>
  </si>
  <si>
    <t>Caldes de Montbui</t>
  </si>
  <si>
    <t>Caldes d'Estrac</t>
  </si>
  <si>
    <t>Calella</t>
  </si>
  <si>
    <t>Calldetenes</t>
  </si>
  <si>
    <t>Callús</t>
  </si>
  <si>
    <t>Calonge de Segarra</t>
  </si>
  <si>
    <t>Campins</t>
  </si>
  <si>
    <t>Canet de Mar</t>
  </si>
  <si>
    <t>Canovelles</t>
  </si>
  <si>
    <t>Cànoves i Samalús</t>
  </si>
  <si>
    <t>Canyelles</t>
  </si>
  <si>
    <t>Garraf</t>
  </si>
  <si>
    <t>Consell comarcal del Garraf</t>
  </si>
  <si>
    <t>Capellades</t>
  </si>
  <si>
    <t>Capolat</t>
  </si>
  <si>
    <t>Cardedeu</t>
  </si>
  <si>
    <t>Cardona</t>
  </si>
  <si>
    <t>Carme</t>
  </si>
  <si>
    <t>Casserres</t>
  </si>
  <si>
    <t>Castell de l'Areny</t>
  </si>
  <si>
    <t>Castellar de n'Hug</t>
  </si>
  <si>
    <t>Castellar del Riu</t>
  </si>
  <si>
    <t>Castellar del Vallès</t>
  </si>
  <si>
    <t>Castellbell i el Vilar</t>
  </si>
  <si>
    <t>Castellbisbal</t>
  </si>
  <si>
    <t>Castellcir</t>
  </si>
  <si>
    <t>Castelldefels</t>
  </si>
  <si>
    <t>Castellet i la Gornal</t>
  </si>
  <si>
    <t>Castellfollit de Riubregós</t>
  </si>
  <si>
    <t>Castellfollit del Boix</t>
  </si>
  <si>
    <t>Castellgalí</t>
  </si>
  <si>
    <t>Castellnou de Bages</t>
  </si>
  <si>
    <t>Castellolí</t>
  </si>
  <si>
    <t>Castellterçol</t>
  </si>
  <si>
    <t>Castellví de la Marca</t>
  </si>
  <si>
    <t>Castellví de Rosanes</t>
  </si>
  <si>
    <t>Centelles</t>
  </si>
  <si>
    <t>Cercs</t>
  </si>
  <si>
    <t>Cerdanyola del Vallès</t>
  </si>
  <si>
    <t>Cervelló</t>
  </si>
  <si>
    <t>Collbató</t>
  </si>
  <si>
    <t>Collsuspina</t>
  </si>
  <si>
    <t>Copons</t>
  </si>
  <si>
    <t>Corbera de Llobregat</t>
  </si>
  <si>
    <t>Cornellà de Llobregat</t>
  </si>
  <si>
    <t>Cubelles</t>
  </si>
  <si>
    <t>Dosrius</t>
  </si>
  <si>
    <t>El Bruc</t>
  </si>
  <si>
    <t>El Brull</t>
  </si>
  <si>
    <t>El Masnou</t>
  </si>
  <si>
    <t>El Papiol</t>
  </si>
  <si>
    <t>El Pla del Penedès</t>
  </si>
  <si>
    <t>El Pont de Vilomara i Rocafort</t>
  </si>
  <si>
    <t>El Prat de Llobregat</t>
  </si>
  <si>
    <t>Els Hostalets de Pierola</t>
  </si>
  <si>
    <t>Els Prats de Rei</t>
  </si>
  <si>
    <t>Esparreguera</t>
  </si>
  <si>
    <t>Esplugues de Llobregat</t>
  </si>
  <si>
    <t>Figaró-Montmany</t>
  </si>
  <si>
    <t>Fígols</t>
  </si>
  <si>
    <t>Fogars de la Selva</t>
  </si>
  <si>
    <t>Selva</t>
  </si>
  <si>
    <t>Consell comarcal de la Selva</t>
  </si>
  <si>
    <t>Fogars de Montclús</t>
  </si>
  <si>
    <t>Folgueroles</t>
  </si>
  <si>
    <t>Fonollosa</t>
  </si>
  <si>
    <t>Font-rubí</t>
  </si>
  <si>
    <t>Gaià</t>
  </si>
  <si>
    <t>Gallifa</t>
  </si>
  <si>
    <t>Gavà</t>
  </si>
  <si>
    <t>Gelida</t>
  </si>
  <si>
    <t>Gironella</t>
  </si>
  <si>
    <t>Gisclareny</t>
  </si>
  <si>
    <t>Granera</t>
  </si>
  <si>
    <t>Granollers</t>
  </si>
  <si>
    <t>Gualba</t>
  </si>
  <si>
    <t>Guardiola de Berguedà</t>
  </si>
  <si>
    <t>Gurb</t>
  </si>
  <si>
    <t>Igualada</t>
  </si>
  <si>
    <t>Jorba</t>
  </si>
  <si>
    <t>L' Ametlla del Vallès</t>
  </si>
  <si>
    <t>L' Espunyola</t>
  </si>
  <si>
    <t>L' Esquirol</t>
  </si>
  <si>
    <t>L' Estany</t>
  </si>
  <si>
    <t>L' Hospitalet de Llobregat</t>
  </si>
  <si>
    <t>La Garriga</t>
  </si>
  <si>
    <t>La Granada</t>
  </si>
  <si>
    <t>La Llacuna</t>
  </si>
  <si>
    <t>La Llagosta</t>
  </si>
  <si>
    <t>La Nou de Berguedà</t>
  </si>
  <si>
    <t>La Palma de Cervelló</t>
  </si>
  <si>
    <t>La Pobla de Claramunt</t>
  </si>
  <si>
    <t>La Pobla de Lillet</t>
  </si>
  <si>
    <t>La Quar</t>
  </si>
  <si>
    <t>La Roca del Vallès</t>
  </si>
  <si>
    <t>La Torre de Claramunt</t>
  </si>
  <si>
    <t>Les Cabanyes</t>
  </si>
  <si>
    <t>Les Franqueses del Vallès</t>
  </si>
  <si>
    <t>Les Masies de Roda</t>
  </si>
  <si>
    <t>Les Masies de Voltregà</t>
  </si>
  <si>
    <t>Lliçà d'Amunt</t>
  </si>
  <si>
    <t>Lliçà de Vall</t>
  </si>
  <si>
    <t>Llinars del Vallès</t>
  </si>
  <si>
    <t>Lluçà</t>
  </si>
  <si>
    <t>Malgrat de Mar</t>
  </si>
  <si>
    <t>Malla</t>
  </si>
  <si>
    <t>Manlleu</t>
  </si>
  <si>
    <t>Manresa</t>
  </si>
  <si>
    <t>Marganell</t>
  </si>
  <si>
    <t>Martorell</t>
  </si>
  <si>
    <t>Martorelles</t>
  </si>
  <si>
    <t>Masquefa</t>
  </si>
  <si>
    <t>Matadepera</t>
  </si>
  <si>
    <t>Mataró</t>
  </si>
  <si>
    <t>Mediona</t>
  </si>
  <si>
    <t>Moià</t>
  </si>
  <si>
    <t>Molins de Rei</t>
  </si>
  <si>
    <t>Mollet del Vallès</t>
  </si>
  <si>
    <t>Monistrol de Calders</t>
  </si>
  <si>
    <t>Monistrol de Montserrat</t>
  </si>
  <si>
    <t>Montcada i Reixac</t>
  </si>
  <si>
    <t>Montclar</t>
  </si>
  <si>
    <t>Montesquiu</t>
  </si>
  <si>
    <t>Montgat</t>
  </si>
  <si>
    <t>Montmajor</t>
  </si>
  <si>
    <t>Montmaneu</t>
  </si>
  <si>
    <t>Montmeló</t>
  </si>
  <si>
    <t>Montornès del Vallès</t>
  </si>
  <si>
    <t>Montseny</t>
  </si>
  <si>
    <t>Muntanyola</t>
  </si>
  <si>
    <t>Mura</t>
  </si>
  <si>
    <t>Navarcles</t>
  </si>
  <si>
    <t>Navàs</t>
  </si>
  <si>
    <t>Òdena</t>
  </si>
  <si>
    <t>Olèrdola</t>
  </si>
  <si>
    <t>Olesa de Bonesvalls</t>
  </si>
  <si>
    <t>Olesa de Montserrat</t>
  </si>
  <si>
    <t>Olivella</t>
  </si>
  <si>
    <t>Olost</t>
  </si>
  <si>
    <t>Olvan</t>
  </si>
  <si>
    <t>Orís</t>
  </si>
  <si>
    <t>Oristà</t>
  </si>
  <si>
    <t>Orpí</t>
  </si>
  <si>
    <t>Òrrius</t>
  </si>
  <si>
    <t>Pacs del Penedès</t>
  </si>
  <si>
    <t>Palafolls</t>
  </si>
  <si>
    <t>Palau-solità i Plegamans</t>
  </si>
  <si>
    <t>Pallejà</t>
  </si>
  <si>
    <t>Parets del Vallès</t>
  </si>
  <si>
    <t>Perafita</t>
  </si>
  <si>
    <t>Piera</t>
  </si>
  <si>
    <t>Pineda de Mar</t>
  </si>
  <si>
    <t>Polinyà</t>
  </si>
  <si>
    <t>Pontons</t>
  </si>
  <si>
    <t>Prats de Lluçanès</t>
  </si>
  <si>
    <t>Premià de Dalt</t>
  </si>
  <si>
    <t>Premià de Mar</t>
  </si>
  <si>
    <t>Puigdàlber</t>
  </si>
  <si>
    <t>Puig-reig</t>
  </si>
  <si>
    <t>Pujalt</t>
  </si>
  <si>
    <t>Rajadell</t>
  </si>
  <si>
    <t>Rellinars</t>
  </si>
  <si>
    <t>Ripollet</t>
  </si>
  <si>
    <t>Roda de Ter</t>
  </si>
  <si>
    <t>Rubí</t>
  </si>
  <si>
    <t>Rubió</t>
  </si>
  <si>
    <t>Rupit i Pruit</t>
  </si>
  <si>
    <t>Sabadell</t>
  </si>
  <si>
    <t>Sagàs</t>
  </si>
  <si>
    <t>Saldes</t>
  </si>
  <si>
    <t>Sallent</t>
  </si>
  <si>
    <t>Sant Adrià de Besòs</t>
  </si>
  <si>
    <t>Sant Agustí de Lluçanès</t>
  </si>
  <si>
    <t>Sant Andreu de la Barca</t>
  </si>
  <si>
    <t>Sant Andreu de Llavaneres</t>
  </si>
  <si>
    <t>Sant Antoni de Vilamajor</t>
  </si>
  <si>
    <t>Sant Bartomeu del Grau</t>
  </si>
  <si>
    <t>Sant Boi de Llobregat</t>
  </si>
  <si>
    <t>Sant Boi de Lluçanès</t>
  </si>
  <si>
    <t>Sant Cebrià de Vallalta</t>
  </si>
  <si>
    <t>Sant Celoni</t>
  </si>
  <si>
    <t>Sant Climent de Llobregat</t>
  </si>
  <si>
    <t>Sant Cugat del Vallès</t>
  </si>
  <si>
    <t>Sant Cugat Sesgarrigues</t>
  </si>
  <si>
    <t>Sant Esteve de Palautordera</t>
  </si>
  <si>
    <t>Sant Esteve Sesrovires</t>
  </si>
  <si>
    <t>Sant Feliu de Codines</t>
  </si>
  <si>
    <t>Sant Feliu de Llobregat</t>
  </si>
  <si>
    <t>Sant Feliu Sasserra</t>
  </si>
  <si>
    <t>Sant Fost de Campsentelles</t>
  </si>
  <si>
    <t>Sant Fruitós de Bages</t>
  </si>
  <si>
    <t>Sant Hipòlit de Voltregà</t>
  </si>
  <si>
    <t>Sant Iscle de Vallalta</t>
  </si>
  <si>
    <t>Sant Jaume de Frontanyà</t>
  </si>
  <si>
    <t>Sant Joan de Vilatorrada</t>
  </si>
  <si>
    <t>Sant Joan Despí</t>
  </si>
  <si>
    <t>Sant Julià de Cerdanyola</t>
  </si>
  <si>
    <t>Sant Julià de Vilatorta</t>
  </si>
  <si>
    <t>Sant Just Desvern</t>
  </si>
  <si>
    <t>Sant Llorenç d'Hortons</t>
  </si>
  <si>
    <t>Sant Llorenç Savall</t>
  </si>
  <si>
    <t>Sant Martí d'Albars</t>
  </si>
  <si>
    <t>Sant Martí de Centelles</t>
  </si>
  <si>
    <t>Sant Martí de Tous</t>
  </si>
  <si>
    <t>Sant Martí Sarroca</t>
  </si>
  <si>
    <t>Sant Martí Sesgueioles</t>
  </si>
  <si>
    <t>Sant Mateu de Bages</t>
  </si>
  <si>
    <t>Sant Pere de Ribes</t>
  </si>
  <si>
    <t>Sant Pere de Riudebitlles</t>
  </si>
  <si>
    <t>Sant Pere de Torelló</t>
  </si>
  <si>
    <t>Sant Pere de Vilamajor</t>
  </si>
  <si>
    <t>Sant Pere Sallavinera</t>
  </si>
  <si>
    <t>Sant Pol de Mar</t>
  </si>
  <si>
    <t>Sant Quintí de Mediona</t>
  </si>
  <si>
    <t>Sant Quirze de Besora</t>
  </si>
  <si>
    <t>Sant Quirze del Vallès</t>
  </si>
  <si>
    <t>Sant Quirze Safaja</t>
  </si>
  <si>
    <t>Sant Sadurní d'Anoia</t>
  </si>
  <si>
    <t>Sant Sadurní d'Osormort</t>
  </si>
  <si>
    <t>Sant Salvador de Guardiola</t>
  </si>
  <si>
    <t>Sant Vicenç de Castellet</t>
  </si>
  <si>
    <t>Sant Vicenç de Montalt</t>
  </si>
  <si>
    <t>Sant Vicenç de Torelló</t>
  </si>
  <si>
    <t>Sant Vicenç dels Horts</t>
  </si>
  <si>
    <t>Santa Cecília de Voltregà</t>
  </si>
  <si>
    <t>Santa Coloma de Cervelló</t>
  </si>
  <si>
    <t>Santa Coloma de Gramenet</t>
  </si>
  <si>
    <t>Santa Eugènia de Berga</t>
  </si>
  <si>
    <t>Santa Eulàlia de Riuprimer</t>
  </si>
  <si>
    <t>Santa Eulàlia de Ronçana</t>
  </si>
  <si>
    <t>Santa Fe del Penedès</t>
  </si>
  <si>
    <t>Santa Margarida de Montbui</t>
  </si>
  <si>
    <t>Santa Margarida i els Monjos</t>
  </si>
  <si>
    <t>Santa Maria de Besora</t>
  </si>
  <si>
    <t>Santa Maria de Martorelles</t>
  </si>
  <si>
    <t>Santa Maria de Merlès</t>
  </si>
  <si>
    <t>Santa Maria de Miralles</t>
  </si>
  <si>
    <t>Santa Maria de Palautordera</t>
  </si>
  <si>
    <t>Santa Maria d'Oló</t>
  </si>
  <si>
    <t>Santa Perpètua de Mogoda</t>
  </si>
  <si>
    <t>Santa Susanna</t>
  </si>
  <si>
    <t>Santpedor</t>
  </si>
  <si>
    <t>Sentmenat</t>
  </si>
  <si>
    <t>Seva</t>
  </si>
  <si>
    <t>Sitges</t>
  </si>
  <si>
    <t>Sobremunt</t>
  </si>
  <si>
    <t>Sora</t>
  </si>
  <si>
    <t>Subirats</t>
  </si>
  <si>
    <t>Súria</t>
  </si>
  <si>
    <t>Tagamanent</t>
  </si>
  <si>
    <t>Talamanca</t>
  </si>
  <si>
    <t>Taradell</t>
  </si>
  <si>
    <t>Tavèrnoles</t>
  </si>
  <si>
    <t>Tavertet</t>
  </si>
  <si>
    <t>Teià</t>
  </si>
  <si>
    <t>Terrassa</t>
  </si>
  <si>
    <t>Tiana</t>
  </si>
  <si>
    <t>Tona</t>
  </si>
  <si>
    <t>Tordera</t>
  </si>
  <si>
    <t>Torelló</t>
  </si>
  <si>
    <t>Torrelavit</t>
  </si>
  <si>
    <t>Torrelles de Foix</t>
  </si>
  <si>
    <t>Torrelles de Llobregat</t>
  </si>
  <si>
    <t>Ullastrell</t>
  </si>
  <si>
    <t>Vacarisses</t>
  </si>
  <si>
    <t>Vallbona d'Anoia</t>
  </si>
  <si>
    <t>Vallcebre</t>
  </si>
  <si>
    <t>Vallgorguina</t>
  </si>
  <si>
    <t>Vallirana</t>
  </si>
  <si>
    <t>Vallromanes</t>
  </si>
  <si>
    <t>Veciana</t>
  </si>
  <si>
    <t>Vic</t>
  </si>
  <si>
    <t>Vilada</t>
  </si>
  <si>
    <t>Viladecans</t>
  </si>
  <si>
    <t>Viladecavalls</t>
  </si>
  <si>
    <t>Vilafranca del Penedès</t>
  </si>
  <si>
    <t>Vilalba Sasserra</t>
  </si>
  <si>
    <t>Vilanova de Sau</t>
  </si>
  <si>
    <t>Vilanova del Camí</t>
  </si>
  <si>
    <t>Vilanova del Vallès</t>
  </si>
  <si>
    <t>Vilanova i la Geltrú</t>
  </si>
  <si>
    <t>Vilassar de Dalt</t>
  </si>
  <si>
    <t>Vilassar de Mar</t>
  </si>
  <si>
    <t>Vilobí del Penedès</t>
  </si>
  <si>
    <t>Viver i Serrateix</t>
  </si>
  <si>
    <t>EMD de Bellaterra</t>
  </si>
  <si>
    <t>EMD de Sant Martí de Torroella</t>
  </si>
  <si>
    <t>EMD de Sant Miquel de Balenyà</t>
  </si>
  <si>
    <t>EMD de Valldoreix</t>
  </si>
  <si>
    <t>CALOR</t>
  </si>
  <si>
    <t>P</t>
  </si>
  <si>
    <t>COP</t>
  </si>
  <si>
    <t>SCOP</t>
  </si>
  <si>
    <t>AV/+35/7</t>
  </si>
  <si>
    <t>AV/+35</t>
  </si>
  <si>
    <t>AV/+55/7</t>
  </si>
  <si>
    <t>AV/+55</t>
  </si>
  <si>
    <t>AV/+65/7</t>
  </si>
  <si>
    <t>MODEL</t>
  </si>
  <si>
    <t>MARCA</t>
  </si>
  <si>
    <t>KW</t>
  </si>
  <si>
    <t>A-W</t>
  </si>
  <si>
    <t>monoblock</t>
  </si>
  <si>
    <t>ECOFOREST</t>
  </si>
  <si>
    <t>ecoAIR+ 3-18 PRO</t>
  </si>
  <si>
    <t>Thermica CHA/F/ML/WP 204-P</t>
  </si>
  <si>
    <t>CLINT - EUROFRED</t>
  </si>
  <si>
    <t>Aquaplus CHA/G/WP 604-P</t>
  </si>
  <si>
    <t>BAEHEAT B30 390</t>
  </si>
  <si>
    <t>BAEHEAT B30</t>
  </si>
  <si>
    <t>ZIRAN PRO KWR-3120</t>
  </si>
  <si>
    <t>KEYTER</t>
  </si>
  <si>
    <t>Clima test BC</t>
  </si>
  <si>
    <t>COMBUS</t>
  </si>
  <si>
    <t>TIPUS CALDERA</t>
  </si>
  <si>
    <t>RENDIMENT</t>
  </si>
  <si>
    <t xml:space="preserve">Gas </t>
  </si>
  <si>
    <t>Gas. anterior a 1979. tiro equilibrado. de pie</t>
  </si>
  <si>
    <t>55%</t>
  </si>
  <si>
    <t>Gas. de 1979 a 1997, tiro natural equilibrado. &amp; pie</t>
  </si>
  <si>
    <t>65%</t>
  </si>
  <si>
    <t>Gas, anterior a 1998, tiro natural o equilibrado, mural</t>
  </si>
  <si>
    <t>Gas, anterior a 1998, tiro forzado con ventilador. Capacidad térmica alta.</t>
  </si>
  <si>
    <t>68%</t>
  </si>
  <si>
    <t>Gas, anterior a 1998. tiro forzado con ventilador. Capacidad térmica baja.</t>
  </si>
  <si>
    <t>72%</t>
  </si>
  <si>
    <t>Gas, anterior a 1998, condensación</t>
  </si>
  <si>
    <t>85%</t>
  </si>
  <si>
    <t>Gas, de 1998 en adelante, sin condensación, con piloto permanente</t>
  </si>
  <si>
    <t>69%</t>
  </si>
  <si>
    <t>Gas. de 1998 en adelante, sin condensación, con encendido automático</t>
  </si>
  <si>
    <t>73%</t>
  </si>
  <si>
    <t>Gas de 1998 en adelante, condensación con piloto permanente</t>
  </si>
  <si>
    <t>79%</t>
  </si>
  <si>
    <t>Gas</t>
  </si>
  <si>
    <t>Gas de 1998 en adelante, condensación, con encendido automático</t>
  </si>
  <si>
    <t>83%</t>
  </si>
  <si>
    <t>Gasóleo. anterior a 1985</t>
  </si>
  <si>
    <t>Gasóleo, de 1985 a 1997</t>
  </si>
  <si>
    <t>70%</t>
  </si>
  <si>
    <t>Gasóleo. de 1998 en adelante, sin condensación</t>
  </si>
  <si>
    <t>Gasóleo. Condensación</t>
  </si>
  <si>
    <t>Combustible sólido, alimentación manual, instalado en un espacio sin calefactar</t>
  </si>
  <si>
    <t>Combustible sólido. alimentación manual, instalado en un espacio calefactado</t>
  </si>
  <si>
    <t>60%</t>
  </si>
  <si>
    <t>Combustible sólido, alimentación automática. Instalado en un espacio sin calefactar</t>
  </si>
  <si>
    <t>Combustible sólido, alimentación automática, instalado en un espacio calefactado.</t>
  </si>
  <si>
    <t>ESTIMACIÓ RENDIMENT CALDERA COMBUSTIÓ ANTIGA</t>
  </si>
  <si>
    <t>Tipus caldera</t>
  </si>
  <si>
    <t>Rendiment</t>
  </si>
  <si>
    <t>Rendiment nominal</t>
  </si>
  <si>
    <t>Any de fabricació</t>
  </si>
  <si>
    <t>Edat</t>
  </si>
  <si>
    <t>Coef Envelliment</t>
  </si>
  <si>
    <t>Rendiment corregit</t>
  </si>
  <si>
    <t>Envelliment</t>
  </si>
  <si>
    <t>CALDERA COMBUSTIÓ</t>
  </si>
  <si>
    <t>Aquestes estimacions han de servir per posar de relleu el pes de les pèrdues i ajudar a disgregar els consums de combustible entre calefacció i ACS en estudis d'eficiència energètica i de millora.</t>
  </si>
  <si>
    <t>També es pretén analitzar millores de baixa cost i comparar els resultats amb sistemes alternatius.</t>
  </si>
  <si>
    <t>Pestanya DADES_ACTUAL</t>
  </si>
  <si>
    <t>Tauler de control on introduir les dades energètiques de l'ACS del sistema actual.</t>
  </si>
  <si>
    <t>Combustible: escollir el vector energètic del generador d'ACS (gas, gasoil, electrcitat...)</t>
  </si>
  <si>
    <t>Cost combustible: €/kWh promig de compres anuals del vector energètic del generador</t>
  </si>
  <si>
    <t>Cost electricitat: €/kWh promig de compres anuals (si el generador és elèctric, coincidirà amb "cost combustible")</t>
  </si>
  <si>
    <t>Potència generador: indicar potència nominal. Serveix per les estimacions de temps d'ús del generador per a estimar el consum elèctric dels sistemes auxiliars (bombes circuiladores, ventiladors de tir, ...)</t>
  </si>
  <si>
    <t>Potència elèctrica sistemes auxiliars: potència elèctrica dels sistemes elèctrics auxiliars (principalment el ventilador de control d'aire de combustió), la bomba del primari i el secundari de producció d'ACS si s'escau. En el cas de bobmes de calor aquests consums estan inclosos al càlcul del SCOPdhw, per tant es si és una bomba de calor compacta indicar 0, o si no els consums associats a bombes de secundari.</t>
  </si>
  <si>
    <t>Generador</t>
  </si>
  <si>
    <t>Demanda</t>
  </si>
  <si>
    <t>Dipòsit</t>
  </si>
  <si>
    <t>dies ús: indica els dies de l'any que funciona el dipòsit. En general 365 dies.</t>
  </si>
  <si>
    <t>Introduir el volum, classe energètica i quantitat de cada tipus d'acumulador disponible d'ACS. Incloure també els d'inèrcia que donin servei a l'ACS.</t>
  </si>
  <si>
    <t>Recirculació d'ACS</t>
  </si>
  <si>
    <t>Indicar les temperatures d'impulsió d'ACS . Es pren com la temperatura de la canonada per calcular les pèrdues. Si no s'han mesurat, indicar la consigna de l'acumulador.</t>
  </si>
  <si>
    <t>Introduir el metratge de canonada SENSE aïllament i AMB aïllament, diferenciant entre tams exterior i trams interiors. Indicar el gruix de l'aïllament. El salt tèrmic que s'aplica depèn de les temperatures d'impulsió i de l'ambient indicades.</t>
  </si>
  <si>
    <t>Actuacions de Millora energètica</t>
  </si>
  <si>
    <t>Compendi d'actuacions estàndar d'estalvi en instal·lacions d'ACS. Cal omplir les dades sol·lciitades.</t>
  </si>
  <si>
    <t>Estimació estalvis per reducció de la demanda: indicar quin objectiu es fixa de reducció de demanda amb campanyes de conscienciació als usuaris o reduint la pressió d'abastament d'aigua per reduïr cabal.</t>
  </si>
  <si>
    <t>Estalvis per reducció de temperatura impulsió: indicar la Temp d'impulsió proposada (entre 50ºC i l'actual). Cal assegurar que T retorn és superior oigual a 50ºC (s'estima en funció de les pèrdues estimades i el cabal indicat).</t>
  </si>
  <si>
    <t>Millora aïlament dipòsits: cal indicar la nova classe energètica dels noous dipòsits i es calcula l'estalvi. Cal indicar el cost de la mesura.</t>
  </si>
  <si>
    <t>En la casella de cost mesura es recomana tenir en compte el PEC+IVA de les actuacions.</t>
  </si>
  <si>
    <t>Millora aïllament canonades: no cal introduir cap dada, automàticament es calcula la millora dels trams sense aïllament afegint l'espessor indicat pel RITE. El càlcul de costos PEM és en base al banc de preu BEDEC per rehabilitació. En trams exteriors s'afeeix un sobrecost del 30% per pintat de protecció UV.  Es calcula el PEC+IVA final afegint un 19% i un 21%.</t>
  </si>
  <si>
    <t>Pestanya DADES_ALTERNATIVES</t>
  </si>
  <si>
    <t>Es disposa de 3 alternatives possibles. A cada una cal indicar el generador i els nous rendiments.</t>
  </si>
  <si>
    <t>Es pot modificar la demanda de manera proporcional.</t>
  </si>
  <si>
    <t>Es poden modificar els dipòsits</t>
  </si>
  <si>
    <t>Es pot modificar la xarxa de recirculació.</t>
  </si>
  <si>
    <t>Opcionalment es pot indicar la potència de la bobma de la recirculació per comptar-ne el consum elèctric.</t>
  </si>
  <si>
    <t>Opcionalment es pot indicar el cabal de la recirculació per calcular la temperatura de retorn de l'ACS. Pot servir per ajustar el consum elèctric de la bomba reduint la velocitat.</t>
  </si>
  <si>
    <t>Costos</t>
  </si>
  <si>
    <t>Es pot introduir el cost de la renovació de la instal·lació actual, per tal de poder comparar el cost d'inversió amb la resta d'alternatives.</t>
  </si>
  <si>
    <t>Indicant el cost de manteniment anual i la vida útil del sistema renovat es poden fer càlculs de LCOE i comparar amb les alternatives.</t>
  </si>
  <si>
    <t>Indicant el cost de manteniment anual i la vida útil del sistema per fer càlculs de LCOE i comparar amb les alternatives.</t>
  </si>
  <si>
    <t>Cal indicar el cost de cada alternativa, s'aconsella indicar PEC+IVA. I el manteniment anual.</t>
  </si>
  <si>
    <t>Pestanya RESULTATS</t>
  </si>
  <si>
    <t>A la comparativa energètica es poden comparar els 5 casos (actual + millorat) i 3 alternatives de sistema diferent.</t>
  </si>
  <si>
    <t>El primer gràfic permet visualitzar el cas amb menys consum energètic (barres blaves), el de menys cost econòmic (línia taronja) o el de menys emissions (línia verda).</t>
  </si>
  <si>
    <t>El segon gràfic permet comparar el cas base amb les 3 alternatives d'inversió per veure en què es gasta l'energia: en cobrir demanda, en cobrir pèrdues de dipòsit o de recirculació).</t>
  </si>
  <si>
    <t>Si no es vol aplicar la mesura es pot indicar 0ºC o bé la mateixa Temp de consigna actual.</t>
  </si>
  <si>
    <t>Es planteja fer una campanya de conscienciació als usuris per aconseguir dutxes més curtes o optimitzar l'ús de l'ACS. Cal fer una estimació de la reducció assolida:</t>
  </si>
  <si>
    <t>solució proposada</t>
  </si>
  <si>
    <t xml:space="preserve">Estella </t>
  </si>
  <si>
    <t>Comentaris</t>
  </si>
  <si>
    <t>COSTOS SISTEMA ACTUAL</t>
  </si>
  <si>
    <t>COSTOS MILLORES</t>
  </si>
  <si>
    <t>Exemples de Bomba de Calor Aire-Aigua</t>
  </si>
  <si>
    <t>Si no es disposa del COP A7/W65 indicar COP A7/W55</t>
  </si>
  <si>
    <t>hores equivalents per l'inventari d'equips elèctrics</t>
  </si>
  <si>
    <t>consum previst</t>
  </si>
  <si>
    <t>es calcula el factor de l'estella entre el rendiment de la caldera (el rendiment de la distribució es compta com el generador)</t>
  </si>
  <si>
    <t>EINA PER L'ESTIMACIÓ DE RENDIMENTS DE GENERADORS DE CALOR</t>
  </si>
  <si>
    <t>A falta de dades del rendiment estacional d'una caldera de combustió, es pot prendre la següent estimació de la Taula B.3 de l'Annex VIII de la fitxa CAE TER100:</t>
  </si>
  <si>
    <t>Taula B.3 de l'Annex VIII de la fitxa CAE TER100:</t>
  </si>
  <si>
    <t>Bombes de calor aire-aigua</t>
  </si>
  <si>
    <t>El següent procediment de càlcul s'ha extret del cas 3 de l'Anex VII de la fitxa CAE TER 40 de substitució de generadors tèrmics per bombes de calor elèctriques per a clima i ACS:</t>
  </si>
  <si>
    <t>Taula de factor de correcció FC del cas 3 de l'Anex VII de la fitxa CAE TER 40</t>
  </si>
  <si>
    <t>Es pot calcular una estimació del rendiment en base el rendiment nominal i aplicant un factor d'envelliment proporcional amb l'edat:</t>
  </si>
  <si>
    <t>Estimació 1:</t>
  </si>
  <si>
    <t>Estimació 2:</t>
  </si>
  <si>
    <t>NOTA: les bombes de calor compactes d'ACS (termos d'ACS de bomba de calor) proporcionen el SCOPdhw segons norma UNE 16147, està calculat per T impulsió 55ºC i T acumulació 50ºC, per tant no és un coeficient vàlid per producció a 60ºC (obligatori per equipaments terciaris per lanormativa de legionel·la)</t>
  </si>
  <si>
    <t>ESTIMACIÓ RENDIMENT BOMBA DE CALOR AIRE-AIGUA ACS 60ºC</t>
  </si>
  <si>
    <t>TAULES I INFORMACIÓ</t>
  </si>
  <si>
    <t>mix estella+gasoil</t>
  </si>
  <si>
    <t>xarxa estella+caldera gasoil</t>
  </si>
  <si>
    <t>Termo classe B 50L</t>
  </si>
  <si>
    <t>Termo classe B 100L</t>
  </si>
  <si>
    <t>xarxa estella+ termo elec</t>
  </si>
  <si>
    <t>mix estella+elec</t>
  </si>
  <si>
    <t>Cost energia anual</t>
  </si>
  <si>
    <t>LCO_ACS</t>
  </si>
  <si>
    <t>Manteniment</t>
  </si>
  <si>
    <t>Energia final (kWh/any)</t>
  </si>
  <si>
    <t>Energia</t>
  </si>
  <si>
    <t>Inversió</t>
  </si>
  <si>
    <t>Energia final total</t>
  </si>
  <si>
    <t>Energia útil tèrmica</t>
  </si>
  <si>
    <t>€/m3</t>
  </si>
  <si>
    <t>cost anual</t>
  </si>
  <si>
    <t>BASE</t>
  </si>
  <si>
    <t>h/dia</t>
  </si>
  <si>
    <t>dies/any</t>
  </si>
  <si>
    <t>CAPEX+O&amp;M (€/m3)</t>
  </si>
  <si>
    <t>Cost energia m3 ACS</t>
  </si>
  <si>
    <t>Cost m3 ACS</t>
  </si>
  <si>
    <t>m3 any ACS</t>
  </si>
  <si>
    <t>m3</t>
  </si>
  <si>
    <t>m3/any</t>
  </si>
  <si>
    <t>Pèrdues d'energia</t>
  </si>
  <si>
    <t>Energia total/demanda ACS</t>
  </si>
  <si>
    <t>Consum anual ACS</t>
  </si>
  <si>
    <t>Cost diari (365 dies)</t>
  </si>
  <si>
    <t>Les cel·les en verd són info opcional o per fer càlculs no imprescindibles per obtenir resultats</t>
  </si>
  <si>
    <t>Les cel·les en fons groc són obligatòries per obtenir resultats</t>
  </si>
  <si>
    <t>Data actualització:</t>
  </si>
  <si>
    <t>FUNCIONAMENT GENERAL</t>
  </si>
  <si>
    <t>INSTRUCCIONS GENERALS D'ÚS</t>
  </si>
  <si>
    <t>valors a introduir obligatoris</t>
  </si>
  <si>
    <t>valors adicionals que es poden introduir optativament</t>
  </si>
  <si>
    <r>
      <t xml:space="preserve">Optimització energètica de sistemes d'ACS
</t>
    </r>
    <r>
      <rPr>
        <sz val="16"/>
        <color rgb="FF9E1732"/>
        <rFont val="Neue Haas Grotesk Text Pro"/>
        <family val="2"/>
      </rPr>
      <t xml:space="preserve">
Càlcul del consum d'energia d'instal·lacions d'Aigua Calenta Sanitària i les seves variants</t>
    </r>
  </si>
  <si>
    <t>Aquesta eina permet fer estimacions de consum d'energia per la producció d'ACS tenint en compte les pèrdues tèrmiques habituals dels sistemes, permet estimar els estalvis de certes millores de baixa inversió, i fa una comparació amb el consum energètic i els costos de sistemes alternatius de generació d'ACS.</t>
  </si>
  <si>
    <t xml:space="preserve">1. Cal introduir les dades generals del sistema analitzat a la pestanya "DADES_ACTUAL". També es podran entrar les millores a valorar. </t>
  </si>
  <si>
    <t>2. Es poden introduir les dades de fins a tres sistemes alternatius a la pestanya "DADES_ALTER".</t>
  </si>
  <si>
    <t>3. Es mostren els resultats a la pestanya RESULTATS</t>
  </si>
  <si>
    <t>Full on s'introdueixen les dades del sistema de generació ACTUAL d'ACS</t>
  </si>
  <si>
    <t>Full on s'introdueixen les dades de fins a tres sistemes alternatius d'ACS</t>
  </si>
  <si>
    <t>FUTURES MILLORES A INTRODUIR</t>
  </si>
  <si>
    <t>poder incloure els sistemes com a mescla de 3 generadors amb un % de participació de cada un. Permetrà fer combinacions com:  xarxa de calor, caldera insitu i solar tèrmica.</t>
  </si>
  <si>
    <t>fer càlcul per cada alternativa de energia primària renovable i no renovable per tenir el % d'EERR</t>
  </si>
  <si>
    <t>Full on es mostra una visualització gràfica i imprimible dels resultats:</t>
  </si>
  <si>
    <t xml:space="preserve"> - Visualització de consums i pèrdues en sistema actual</t>
  </si>
  <si>
    <t xml:space="preserve"> - Visualització d'estalvis amb millores estàndar</t>
  </si>
  <si>
    <t xml:space="preserve"> - Comparativa entre cas actual i alternatives de cost  nivellat per m3 (incloent inversió, manteniment i energia)</t>
  </si>
  <si>
    <t xml:space="preserve"> - Visualització de comparativa energètica entre cas actual i alternatives de consum energètic</t>
  </si>
  <si>
    <t>PROGRAMA DE TREBALL EQUIPAMENT</t>
  </si>
  <si>
    <t>2024</t>
  </si>
  <si>
    <t>dilluns</t>
  </si>
  <si>
    <t>dimarts</t>
  </si>
  <si>
    <t>dimecres</t>
  </si>
  <si>
    <t>dijous</t>
  </si>
  <si>
    <t>divendres</t>
  </si>
  <si>
    <t>dissabte</t>
  </si>
  <si>
    <t>diumenge</t>
  </si>
  <si>
    <t>observacions</t>
  </si>
  <si>
    <t>treballadors</t>
  </si>
  <si>
    <t>usuaris</t>
  </si>
  <si>
    <t>horari habitual matí</t>
  </si>
  <si>
    <t>horari habitual tarda</t>
  </si>
  <si>
    <t>horari habitual neteja (o altres)</t>
  </si>
  <si>
    <t>notes:</t>
  </si>
  <si>
    <t>- indiqueu les dades diàries en promig anual (p.e. Si a l'estiu es fan 20 dutxes i a l'hivern 10, indiqueu 15 i indiqueu-ho a observacions)</t>
  </si>
  <si>
    <t>- si tots els dies son iguals podeu copiar el dilluns, la graella és sobretot per equipaments d'ús esporàdic setmanal</t>
  </si>
  <si>
    <t>- si la resposta és 0 o no aplica indiqueu 0 i així sabrem que no és una omissió (p.e. Horari de tarda: si no obren indicar 0)</t>
  </si>
  <si>
    <t>- si hi ha horaris setmanals molt diferenciats entre èpoques de l'any, copiar la taula a la dreta i indicar el segon perfil i els dies que aplica.</t>
  </si>
  <si>
    <t>Dies amb horari habitual</t>
  </si>
  <si>
    <t>Dies amb jornada especial</t>
  </si>
  <si>
    <t>total dies  OBERT</t>
  </si>
  <si>
    <t>estimació dies calefacció</t>
  </si>
  <si>
    <t>estimació hores calefacció</t>
  </si>
  <si>
    <t>total dies TANCAT</t>
  </si>
  <si>
    <t>Observacions</t>
  </si>
  <si>
    <t>dies mes</t>
  </si>
  <si>
    <t>laborables 2024</t>
  </si>
  <si>
    <t>dissabtes i diumenges 2024</t>
  </si>
  <si>
    <t>festius Catalunya en laborable 2024</t>
  </si>
  <si>
    <t>Gener</t>
  </si>
  <si>
    <t>febrer</t>
  </si>
  <si>
    <t>Març</t>
  </si>
  <si>
    <t>Abril</t>
  </si>
  <si>
    <t>Maig</t>
  </si>
  <si>
    <t>Juny</t>
  </si>
  <si>
    <t>juliol</t>
  </si>
  <si>
    <t>Agost</t>
  </si>
  <si>
    <t>Setembre</t>
  </si>
  <si>
    <t>Octubre</t>
  </si>
  <si>
    <t>Novembre</t>
  </si>
  <si>
    <t>Desembre</t>
  </si>
  <si>
    <t xml:space="preserve">horari habitual: hores diàries </t>
  </si>
  <si>
    <t>horari especial: hores diàries</t>
  </si>
  <si>
    <t>Aigua Calenta (ACS): dutxes diàries</t>
  </si>
  <si>
    <t>Cuina: menús diaris</t>
  </si>
  <si>
    <t>PERFIL D'ÚS SETMANAL</t>
  </si>
  <si>
    <t>CALENDARI LABORABLE</t>
  </si>
  <si>
    <t>estimació hores activitat</t>
  </si>
  <si>
    <t>CALENDARI EQUIPAMENT</t>
  </si>
  <si>
    <t>laborables tancats</t>
  </si>
  <si>
    <t>calendari laboral Catalunya</t>
  </si>
  <si>
    <t>calendari festes locals</t>
  </si>
  <si>
    <t>festius locals en laborable</t>
  </si>
  <si>
    <t>https://www.boe.es/buscar/pdf/2007/BOE-A-2007-15820-consolidado.pdf</t>
  </si>
  <si>
    <t>es proposa aplicar les opcions de millora escollides: reduir T consigna a 60ºC, aïllar canonades i aturar el sistema a l'agost i al setembre programar l'antilegionel·la.</t>
  </si>
  <si>
    <t>Dies d'ús</t>
  </si>
  <si>
    <t xml:space="preserve">Podem afegir una vàlvula mescladora a la sortida de la sala i reduir la temperatura d'impulsió?
</t>
  </si>
  <si>
    <t>Es poden aplicar canvis a la demanda de litres de consum amb el factor d'ús o canviant la quantitat de dies que es fa servir el servei d'ACS. Si no es vol canviar indicar els mateixos que a 
DADES_ACTUAL:</t>
  </si>
  <si>
    <t>Reduïm la temperatura de consigna i els dies de funcionament.</t>
  </si>
  <si>
    <t>Deixem la mateixa demanda. No apliquem cap campanya de consciènciació.</t>
  </si>
  <si>
    <t>Cost dels aïllaments</t>
  </si>
  <si>
    <t>Cost PEM aproximat aïllaments indicats:</t>
  </si>
  <si>
    <t>Cost d'inversió (PEC+IVA)</t>
  </si>
  <si>
    <t>Cost d'inversió renovació (PEC+IVA)</t>
  </si>
  <si>
    <t>es proposa aturar els sistemes en el període de vacances.</t>
  </si>
  <si>
    <t>s'elimina la recirculació, cap aixeta d'ACS està a més de 5m de la producció ni conté més de 3 litres.</t>
  </si>
  <si>
    <t>EINA PER ESTIMAR ELS COSTOS DE LES MILLORES</t>
  </si>
  <si>
    <t>cost aïllament</t>
  </si>
  <si>
    <t>COSTOS D'AÏLLAMENT</t>
  </si>
  <si>
    <t>Copiar el metratge i espessors de la taula del cas a valorar.</t>
  </si>
  <si>
    <t>Per valorar inversions de millora, s'aconsella afegir el benefici industrial (6%), les despeses generals (13%) i l'IVA (21%).</t>
  </si>
  <si>
    <t>NOTA: donat que el BEDEC es basa en obres grans, s'aconsella incrementar el cost unitari. En aquest EXCEL aquest cost unitari s'ha incrementat en 30%.</t>
  </si>
  <si>
    <t xml:space="preserve">Despesa General </t>
  </si>
  <si>
    <t>Benefici industrial</t>
  </si>
  <si>
    <t xml:space="preserve">IVA </t>
  </si>
  <si>
    <t>TOTAL PEC+IVA</t>
  </si>
  <si>
    <t>Altres partides</t>
  </si>
  <si>
    <t>calentador instantani 5,7kW (Clage MBH6 o equivalent), inclou instal·lació i treballs lampisteria (connexió hidràulica, PIA II/25A i línia elèctrica 3x6mm2 40m)</t>
  </si>
  <si>
    <t>calentador instantani 13,5 kW (Clage CEX o equivalent), inclou instal·lació i treballs lampisteria (connexió hidràulica, PIA IV/25A i línia elèctrica 5x6mm2 40m)</t>
  </si>
  <si>
    <t>Escalfador dutxa</t>
  </si>
  <si>
    <t>Escalfador rentamans</t>
  </si>
  <si>
    <t>PEM TOTAL</t>
  </si>
  <si>
    <t>COSTOS D'EQUIPS D'EFECTE JOULE</t>
  </si>
  <si>
    <t>termo calentador 50L 2kW classe energètica B (Bosch Tronic 7501 T o equivalent), inclou instal·lació i treballs lampisteria (connexió hidràulica, PIA II/16A i línia elèctrica 3x2,5mm2 40m).</t>
  </si>
  <si>
    <t>termo calentador 100L 2kW classe energètica B (Bosch Tronic 7501 T o equivalent), inclou instal·lació i treballs lampisteria (connexió hidràulica, PIA II/16A i línia elèctrica 3x2,5mm2 40m).</t>
  </si>
  <si>
    <t>Termo classe B 120L</t>
  </si>
  <si>
    <t>Termo classe B 80L</t>
  </si>
  <si>
    <t>COSTOS D'INTERACUMULADORS D'ACS</t>
  </si>
  <si>
    <t>Interacumulador 150L</t>
  </si>
  <si>
    <t>Interacumulador 200L</t>
  </si>
  <si>
    <t>Interacumulador 300L</t>
  </si>
  <si>
    <t>Interacumulador 400L</t>
  </si>
  <si>
    <t>Interacumulador 500L</t>
  </si>
  <si>
    <t>Interacumulador 750L</t>
  </si>
  <si>
    <t>Interacumulador 1.000L</t>
  </si>
  <si>
    <t>interacumulador d'acer inox classe B (Lapesa GX-XXX-M1 o equivalent), inclou montatge i connexió</t>
  </si>
  <si>
    <t>interacumulador d'acer inox classe C (Lapesa GX-XXX-M1 o equivalent), inclou montatge i connexió</t>
  </si>
  <si>
    <t>v26a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</si>
</sst>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0\ &quot;€&quot;;[Red]\-#,##0\ &quot;€&quot;"/>
    <numFmt numFmtId="8" formatCode="#,##0.00\ &quot;€&quot;;[Red]\-#,##0.00\ &quot;€&quot;"/>
    <numFmt numFmtId="44" formatCode="_-* #,##0.00\ &quot;€&quot;_-;\-* #,##0.00\ &quot;€&quot;_-;_-* &quot;-&quot;??\ &quot;€&quot;_-;_-@_-"/>
    <numFmt numFmtId="164" formatCode="0.0"/>
    <numFmt numFmtId="165" formatCode="0.000"/>
    <numFmt numFmtId="166" formatCode="#,##0.0"/>
    <numFmt numFmtId="167" formatCode="0.0000"/>
    <numFmt numFmtId="168" formatCode="#,##0.00\ &quot;€&quot;&quot;/m&quot;"/>
    <numFmt numFmtId="169" formatCode="0.0%"/>
    <numFmt numFmtId="170" formatCode="_-* #,##0\ &quot;€&quot;_-;\-* #,##0\ &quot;€&quot;_-;_-* &quot;-&quot;??\ &quot;€&quot;_-;_-@_-"/>
    <numFmt numFmtId="171" formatCode="#,##0\ &quot;€&quot;"/>
    <numFmt numFmtId="172" formatCode="#,##0_ ;[Red]\-#,##0\ "/>
  </numFmts>
  <fonts count="68">
    <font>
      <sz val="11"/>
      <color theme="1"/>
      <name val="Aptos Narrow"/>
      <family val="2"/>
      <scheme val="minor"/>
    </font>
    <font>
      <sz val="11"/>
      <color theme="1"/>
      <name val="Aptos Narrow"/>
      <family val="2"/>
      <scheme val="minor"/>
    </font>
    <font>
      <sz val="10"/>
      <name val="Arial"/>
      <family val="2"/>
    </font>
    <font>
      <b/>
      <sz val="11"/>
      <color theme="1"/>
      <name val="Calibri"/>
      <family val="2"/>
    </font>
    <font>
      <sz val="11"/>
      <color theme="1"/>
      <name val="Calibri"/>
      <family val="2"/>
    </font>
    <font>
      <b/>
      <sz val="11"/>
      <color rgb="FF00B050"/>
      <name val="Calibri"/>
      <family val="2"/>
    </font>
    <font>
      <sz val="11"/>
      <name val="Calibri"/>
      <family val="2"/>
    </font>
    <font>
      <u/>
      <sz val="10"/>
      <color indexed="12"/>
      <name val="Arial"/>
      <family val="2"/>
    </font>
    <font>
      <b/>
      <sz val="14"/>
      <color rgb="FF00B050"/>
      <name val="Calibri"/>
      <family val="2"/>
    </font>
    <font>
      <sz val="14"/>
      <name val="Calibri"/>
      <family val="2"/>
    </font>
    <font>
      <sz val="9"/>
      <color indexed="81"/>
      <name val="Tahoma"/>
      <family val="2"/>
    </font>
    <font>
      <b/>
      <sz val="9"/>
      <color indexed="81"/>
      <name val="Tahoma"/>
      <family val="2"/>
    </font>
    <font>
      <b/>
      <sz val="12"/>
      <color theme="1"/>
      <name val="Calibri"/>
      <family val="2"/>
    </font>
    <font>
      <b/>
      <sz val="8"/>
      <color rgb="FFFFFFFF"/>
      <name val="Arial"/>
      <family val="2"/>
    </font>
    <font>
      <sz val="8"/>
      <color rgb="FF5E6787"/>
      <name val="Arial"/>
      <family val="2"/>
    </font>
    <font>
      <sz val="12"/>
      <color rgb="FF5E6787"/>
      <name val="Material Icons"/>
    </font>
    <font>
      <sz val="5"/>
      <color rgb="FF5E6787"/>
      <name val="Courier New"/>
      <family val="3"/>
    </font>
    <font>
      <b/>
      <sz val="8"/>
      <color rgb="FF5E6787"/>
      <name val="Arial"/>
      <family val="2"/>
    </font>
    <font>
      <vertAlign val="subscript"/>
      <sz val="8"/>
      <color rgb="FF5E6787"/>
      <name val="Arial"/>
      <family val="2"/>
    </font>
    <font>
      <sz val="9"/>
      <color rgb="FFFFFFFF"/>
      <name val="Arial"/>
      <family val="2"/>
    </font>
    <font>
      <sz val="12"/>
      <color rgb="FFFFFFFF"/>
      <name val="Material Icons"/>
    </font>
    <font>
      <b/>
      <sz val="9"/>
      <color rgb="FFFFFFFF"/>
      <name val="Arial"/>
      <family val="2"/>
    </font>
    <font>
      <sz val="8"/>
      <color theme="1"/>
      <name val="Arial"/>
      <family val="2"/>
    </font>
    <font>
      <sz val="12"/>
      <color theme="1"/>
      <name val="Material Icons"/>
    </font>
    <font>
      <sz val="5"/>
      <color theme="1"/>
      <name val="Courier New"/>
      <family val="3"/>
    </font>
    <font>
      <b/>
      <sz val="8"/>
      <color theme="1"/>
      <name val="Arial"/>
      <family val="2"/>
    </font>
    <font>
      <sz val="11"/>
      <color theme="0" tint="-0.499984740745262"/>
      <name val="Calibri"/>
      <family val="2"/>
    </font>
    <font>
      <i/>
      <sz val="11"/>
      <color theme="1"/>
      <name val="Calibri"/>
      <family val="2"/>
    </font>
    <font>
      <sz val="14"/>
      <color theme="1"/>
      <name val="Calibri"/>
      <family val="2"/>
    </font>
    <font>
      <b/>
      <sz val="9"/>
      <name val="Calibri"/>
      <family val="2"/>
    </font>
    <font>
      <sz val="9"/>
      <color theme="1"/>
      <name val="Calibri"/>
      <family val="2"/>
    </font>
    <font>
      <sz val="9"/>
      <name val="Calibri"/>
      <family val="2"/>
    </font>
    <font>
      <u/>
      <sz val="11"/>
      <color theme="10"/>
      <name val="Aptos Narrow"/>
      <family val="2"/>
      <scheme val="minor"/>
    </font>
    <font>
      <b/>
      <sz val="11"/>
      <color theme="1"/>
      <name val="Aptos Narrow"/>
      <family val="2"/>
      <scheme val="minor"/>
    </font>
    <font>
      <b/>
      <sz val="14"/>
      <name val="Calibri"/>
      <family val="2"/>
    </font>
    <font>
      <b/>
      <sz val="11"/>
      <name val="Calibri"/>
      <family val="2"/>
    </font>
    <font>
      <b/>
      <sz val="11"/>
      <color rgb="FFC00000"/>
      <name val="Calibri"/>
      <family val="2"/>
    </font>
    <font>
      <sz val="11"/>
      <color rgb="FFC00000"/>
      <name val="Calibri"/>
      <family val="2"/>
    </font>
    <font>
      <sz val="14"/>
      <color rgb="FFFF0000"/>
      <name val="Calibri"/>
      <family val="2"/>
    </font>
    <font>
      <sz val="11"/>
      <color theme="1"/>
      <name val="Aptos Narrow"/>
      <family val="2"/>
    </font>
    <font>
      <b/>
      <sz val="14"/>
      <color theme="1"/>
      <name val="Calibri"/>
      <family val="2"/>
    </font>
    <font>
      <b/>
      <sz val="14"/>
      <color rgb="FFC00000"/>
      <name val="Calibri"/>
      <family val="2"/>
    </font>
    <font>
      <b/>
      <sz val="12"/>
      <color rgb="FFC00000"/>
      <name val="Calibri"/>
      <family val="2"/>
    </font>
    <font>
      <b/>
      <sz val="10"/>
      <color indexed="9"/>
      <name val="Arial"/>
      <family val="2"/>
    </font>
    <font>
      <sz val="12"/>
      <name val="Calibri"/>
      <family val="2"/>
    </font>
    <font>
      <sz val="11"/>
      <name val="Aptos Narrow"/>
      <family val="2"/>
      <scheme val="minor"/>
    </font>
    <font>
      <u/>
      <sz val="11"/>
      <color theme="10"/>
      <name val="Calibri"/>
      <family val="2"/>
    </font>
    <font>
      <b/>
      <sz val="11"/>
      <name val="Aptos Narrow"/>
      <family val="2"/>
      <scheme val="minor"/>
    </font>
    <font>
      <sz val="24"/>
      <color theme="1"/>
      <name val="Calibri"/>
      <family val="2"/>
    </font>
    <font>
      <b/>
      <sz val="20"/>
      <color rgb="FF9E1732"/>
      <name val="Neue Haas Grotesk Text Pro"/>
      <family val="2"/>
    </font>
    <font>
      <sz val="16"/>
      <color rgb="FF9E1732"/>
      <name val="Neue Haas Grotesk Text Pro"/>
      <family val="2"/>
    </font>
    <font>
      <b/>
      <sz val="24"/>
      <color theme="4"/>
      <name val="Calibri"/>
      <family val="2"/>
    </font>
    <font>
      <b/>
      <sz val="16"/>
      <color theme="4"/>
      <name val="Calibri"/>
      <family val="2"/>
    </font>
    <font>
      <sz val="18"/>
      <color theme="4"/>
      <name val="Calibri"/>
      <family val="2"/>
    </font>
    <font>
      <sz val="11"/>
      <color rgb="FFFF0000"/>
      <name val="Calibri"/>
      <family val="2"/>
    </font>
    <font>
      <sz val="16"/>
      <color theme="1"/>
      <name val="Calibri"/>
      <family val="2"/>
    </font>
    <font>
      <b/>
      <sz val="16"/>
      <color rgb="FF9E1732"/>
      <name val="Neue Haas Grotesk Text Pro"/>
      <family val="2"/>
    </font>
    <font>
      <b/>
      <sz val="12"/>
      <color theme="1"/>
      <name val="Neue Haas Grotesk Text Pro"/>
      <family val="2"/>
    </font>
    <font>
      <sz val="11"/>
      <color theme="1"/>
      <name val="Neue Haas Grotesk Text Pro"/>
      <family val="2"/>
    </font>
    <font>
      <sz val="11"/>
      <name val="Neue Haas Grotesk Text Pro"/>
      <family val="2"/>
    </font>
    <font>
      <sz val="11"/>
      <color rgb="FFFF0000"/>
      <name val="Neue Haas Grotesk Text Pro"/>
      <family val="2"/>
    </font>
    <font>
      <sz val="16"/>
      <color theme="1"/>
      <name val="Neue Haas Grotesk Text Pro"/>
      <family val="2"/>
    </font>
    <font>
      <sz val="16"/>
      <name val="Neue Haas Grotesk Text Pro"/>
      <family val="2"/>
    </font>
    <font>
      <b/>
      <u/>
      <sz val="11"/>
      <color theme="10"/>
      <name val="Calibri"/>
      <family val="2"/>
    </font>
    <font>
      <b/>
      <sz val="9"/>
      <color theme="1"/>
      <name val="Calibri"/>
      <family val="2"/>
    </font>
    <font>
      <i/>
      <sz val="9"/>
      <color theme="1"/>
      <name val="Calibri"/>
      <family val="2"/>
    </font>
    <font>
      <sz val="8"/>
      <name val="Aptos Narrow"/>
      <family val="2"/>
      <scheme val="minor"/>
    </font>
    <font>
      <u/>
      <sz val="9"/>
      <color theme="10"/>
      <name val="Calibri"/>
      <family val="2"/>
    </font>
  </fonts>
  <fills count="23">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FFFF"/>
        <bgColor indexed="64"/>
      </patternFill>
    </fill>
    <fill>
      <patternFill patternType="solid">
        <fgColor rgb="FF999999"/>
        <bgColor indexed="64"/>
      </patternFill>
    </fill>
    <fill>
      <patternFill patternType="solid">
        <fgColor rgb="FFF1F1F2"/>
        <bgColor indexed="64"/>
      </patternFill>
    </fill>
    <fill>
      <patternFill patternType="solid">
        <fgColor rgb="FFDDDDDD"/>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3" tint="0.89999084444715716"/>
        <bgColor indexed="64"/>
      </patternFill>
    </fill>
    <fill>
      <patternFill patternType="solid">
        <fgColor theme="4"/>
        <bgColor indexed="64"/>
      </patternFill>
    </fill>
    <fill>
      <patternFill patternType="solid">
        <fgColor indexed="9"/>
        <bgColor indexed="64"/>
      </patternFill>
    </fill>
    <fill>
      <patternFill patternType="solid">
        <fgColor rgb="FFFFFF99"/>
        <bgColor indexed="64"/>
      </patternFill>
    </fill>
    <fill>
      <patternFill patternType="solid">
        <fgColor theme="0"/>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rgb="FFF9F9F9"/>
        <bgColor indexed="64"/>
      </patternFill>
    </fill>
    <fill>
      <patternFill patternType="solid">
        <fgColor rgb="FF9E1732"/>
        <bgColor indexed="64"/>
      </patternFill>
    </fill>
    <fill>
      <patternFill patternType="solid">
        <fgColor theme="9" tint="0.59999389629810485"/>
        <bgColor indexed="64"/>
      </patternFill>
    </fill>
  </fills>
  <borders count="6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bottom style="thin">
        <color auto="1"/>
      </bottom>
      <diagonal/>
    </border>
    <border>
      <left style="medium">
        <color indexed="64"/>
      </left>
      <right style="thin">
        <color auto="1"/>
      </right>
      <top style="thin">
        <color auto="1"/>
      </top>
      <bottom/>
      <diagonal/>
    </border>
    <border>
      <left/>
      <right style="thin">
        <color indexed="64"/>
      </right>
      <top style="medium">
        <color indexed="64"/>
      </top>
      <bottom style="thin">
        <color auto="1"/>
      </bottom>
      <diagonal/>
    </border>
    <border>
      <left/>
      <right/>
      <top/>
      <bottom style="medium">
        <color indexed="64"/>
      </bottom>
      <diagonal/>
    </border>
    <border>
      <left style="medium">
        <color indexed="64"/>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indexed="64"/>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8">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0" fontId="7" fillId="0" borderId="0" applyNumberFormat="0" applyFill="0" applyBorder="0" applyAlignment="0" applyProtection="0">
      <alignment vertical="top"/>
      <protection locked="0"/>
    </xf>
    <xf numFmtId="0" fontId="32" fillId="0" borderId="0" applyNumberFormat="0" applyFill="0" applyBorder="0" applyAlignment="0" applyProtection="0"/>
    <xf numFmtId="0" fontId="1" fillId="0" borderId="0"/>
    <xf numFmtId="0" fontId="4" fillId="0" borderId="0"/>
  </cellStyleXfs>
  <cellXfs count="610">
    <xf numFmtId="0" fontId="0" fillId="0" borderId="0" xfId="0"/>
    <xf numFmtId="0" fontId="3" fillId="2" borderId="0" xfId="0" applyFont="1" applyFill="1"/>
    <xf numFmtId="0" fontId="3" fillId="0" borderId="0" xfId="0" applyFont="1"/>
    <xf numFmtId="0" fontId="4" fillId="0" borderId="0" xfId="0" applyFont="1"/>
    <xf numFmtId="0" fontId="4" fillId="0" borderId="0" xfId="0" applyFont="1" applyAlignment="1">
      <alignment wrapText="1"/>
    </xf>
    <xf numFmtId="164" fontId="6" fillId="0" borderId="0" xfId="0" applyNumberFormat="1" applyFont="1"/>
    <xf numFmtId="165" fontId="6" fillId="0" borderId="0" xfId="0" applyNumberFormat="1" applyFont="1"/>
    <xf numFmtId="0" fontId="6" fillId="0" borderId="0" xfId="0" applyFont="1" applyAlignment="1">
      <alignment horizontal="left"/>
    </xf>
    <xf numFmtId="0" fontId="4" fillId="0" borderId="1" xfId="0" applyFont="1" applyBorder="1"/>
    <xf numFmtId="0" fontId="4" fillId="0" borderId="2" xfId="0" applyFont="1" applyBorder="1"/>
    <xf numFmtId="0" fontId="4" fillId="0" borderId="3" xfId="0" applyFont="1" applyBorder="1"/>
    <xf numFmtId="0" fontId="4" fillId="0" borderId="4" xfId="0" applyFont="1" applyBorder="1"/>
    <xf numFmtId="1" fontId="4" fillId="0" borderId="4" xfId="0" applyNumberFormat="1" applyFont="1" applyBorder="1"/>
    <xf numFmtId="0" fontId="4" fillId="0" borderId="1"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0" xfId="0" applyFont="1" applyAlignment="1">
      <alignment horizontal="center" wrapText="1"/>
    </xf>
    <xf numFmtId="0" fontId="4" fillId="0" borderId="4" xfId="0" applyFont="1" applyBorder="1" applyAlignment="1">
      <alignment horizontal="center"/>
    </xf>
    <xf numFmtId="0" fontId="4" fillId="0" borderId="0" xfId="0" applyFont="1" applyAlignment="1">
      <alignment horizontal="center"/>
    </xf>
    <xf numFmtId="16" fontId="4" fillId="0" borderId="4" xfId="0" quotePrefix="1" applyNumberFormat="1" applyFont="1" applyBorder="1" applyAlignment="1">
      <alignment horizontal="center"/>
    </xf>
    <xf numFmtId="1" fontId="4" fillId="0" borderId="4" xfId="0" applyNumberFormat="1" applyFont="1" applyBorder="1" applyAlignment="1">
      <alignment horizontal="center"/>
    </xf>
    <xf numFmtId="0" fontId="4" fillId="0" borderId="4" xfId="0" quotePrefix="1" applyFont="1" applyBorder="1" applyAlignment="1">
      <alignment horizontal="center"/>
    </xf>
    <xf numFmtId="12" fontId="4" fillId="0" borderId="4" xfId="0" applyNumberFormat="1" applyFont="1" applyBorder="1" applyAlignment="1">
      <alignment horizontal="center" wrapText="1"/>
    </xf>
    <xf numFmtId="1" fontId="4" fillId="0" borderId="0" xfId="0" applyNumberFormat="1" applyFont="1"/>
    <xf numFmtId="0" fontId="3" fillId="0" borderId="4" xfId="0" applyFont="1" applyBorder="1"/>
    <xf numFmtId="0" fontId="4" fillId="0" borderId="5" xfId="0" applyFont="1" applyBorder="1"/>
    <xf numFmtId="0" fontId="4" fillId="0" borderId="6" xfId="0" applyFont="1" applyBorder="1"/>
    <xf numFmtId="0" fontId="4" fillId="0" borderId="7" xfId="0" applyFont="1" applyBorder="1"/>
    <xf numFmtId="0" fontId="4" fillId="0" borderId="3" xfId="0" applyFont="1" applyBorder="1" applyAlignment="1">
      <alignment wrapText="1"/>
    </xf>
    <xf numFmtId="0" fontId="4" fillId="0" borderId="1" xfId="0" applyFont="1" applyBorder="1" applyAlignment="1">
      <alignment horizontal="center"/>
    </xf>
    <xf numFmtId="164" fontId="4" fillId="0" borderId="4" xfId="0" applyNumberFormat="1" applyFont="1" applyBorder="1" applyAlignment="1">
      <alignment horizontal="center"/>
    </xf>
    <xf numFmtId="0" fontId="4" fillId="0" borderId="8" xfId="0" applyFont="1" applyBorder="1" applyAlignment="1">
      <alignment horizontal="center" wrapText="1"/>
    </xf>
    <xf numFmtId="0" fontId="3" fillId="0" borderId="8" xfId="0" applyFont="1" applyBorder="1" applyAlignment="1">
      <alignment horizontal="center" wrapText="1"/>
    </xf>
    <xf numFmtId="0" fontId="4" fillId="0" borderId="9" xfId="0" applyFont="1" applyBorder="1" applyAlignment="1">
      <alignment horizontal="center"/>
    </xf>
    <xf numFmtId="0" fontId="3" fillId="0" borderId="9" xfId="0" applyFont="1" applyBorder="1" applyAlignment="1">
      <alignment horizontal="center"/>
    </xf>
    <xf numFmtId="166" fontId="4" fillId="0" borderId="4" xfId="0" applyNumberFormat="1" applyFont="1" applyBorder="1" applyAlignment="1">
      <alignment horizontal="center"/>
    </xf>
    <xf numFmtId="0" fontId="6" fillId="0" borderId="4" xfId="0" applyFont="1" applyBorder="1" applyAlignment="1">
      <alignment horizontal="center"/>
    </xf>
    <xf numFmtId="3" fontId="4" fillId="0" borderId="4" xfId="0" applyNumberFormat="1" applyFont="1" applyBorder="1" applyAlignment="1">
      <alignment horizontal="center"/>
    </xf>
    <xf numFmtId="2" fontId="4" fillId="0" borderId="0" xfId="0" applyNumberFormat="1" applyFont="1"/>
    <xf numFmtId="3" fontId="4" fillId="0" borderId="0" xfId="0" applyNumberFormat="1" applyFont="1"/>
    <xf numFmtId="9" fontId="4" fillId="0" borderId="0" xfId="2" applyFont="1"/>
    <xf numFmtId="164" fontId="4" fillId="0" borderId="0" xfId="0" applyNumberFormat="1" applyFont="1"/>
    <xf numFmtId="0" fontId="4" fillId="2" borderId="0" xfId="0" applyFont="1" applyFill="1"/>
    <xf numFmtId="3" fontId="6" fillId="0" borderId="0" xfId="0" applyNumberFormat="1" applyFont="1"/>
    <xf numFmtId="3" fontId="3" fillId="0" borderId="0" xfId="0" applyNumberFormat="1" applyFont="1"/>
    <xf numFmtId="1" fontId="8" fillId="0" borderId="0" xfId="0" applyNumberFormat="1" applyFont="1"/>
    <xf numFmtId="0" fontId="6" fillId="0" borderId="0" xfId="0" applyFont="1"/>
    <xf numFmtId="165" fontId="9" fillId="0" borderId="0" xfId="0" applyNumberFormat="1" applyFont="1"/>
    <xf numFmtId="1" fontId="9" fillId="0" borderId="0" xfId="0" applyNumberFormat="1" applyFont="1"/>
    <xf numFmtId="3" fontId="4" fillId="0" borderId="2" xfId="0" applyNumberFormat="1" applyFont="1" applyBorder="1" applyAlignment="1">
      <alignment wrapText="1"/>
    </xf>
    <xf numFmtId="0" fontId="4" fillId="0" borderId="2" xfId="0" applyFont="1" applyBorder="1" applyAlignment="1">
      <alignment wrapText="1"/>
    </xf>
    <xf numFmtId="3" fontId="4" fillId="0" borderId="2" xfId="0" applyNumberFormat="1" applyFont="1" applyBorder="1"/>
    <xf numFmtId="9" fontId="4" fillId="0" borderId="2" xfId="2" applyFont="1" applyBorder="1"/>
    <xf numFmtId="0" fontId="3" fillId="0" borderId="2" xfId="0" applyFont="1" applyBorder="1"/>
    <xf numFmtId="3" fontId="3" fillId="0" borderId="2" xfId="0" applyNumberFormat="1" applyFont="1" applyBorder="1"/>
    <xf numFmtId="0" fontId="12" fillId="2" borderId="0" xfId="0" applyFont="1" applyFill="1"/>
    <xf numFmtId="164" fontId="4" fillId="0" borderId="2" xfId="0" applyNumberFormat="1" applyFont="1" applyBorder="1"/>
    <xf numFmtId="0" fontId="3" fillId="2" borderId="4" xfId="0" applyFont="1" applyFill="1" applyBorder="1"/>
    <xf numFmtId="0" fontId="4" fillId="2" borderId="4" xfId="0" applyFont="1" applyFill="1" applyBorder="1" applyAlignment="1">
      <alignment horizontal="center"/>
    </xf>
    <xf numFmtId="166" fontId="4" fillId="2" borderId="4" xfId="0" applyNumberFormat="1" applyFont="1" applyFill="1" applyBorder="1" applyAlignment="1">
      <alignment horizontal="center"/>
    </xf>
    <xf numFmtId="3" fontId="4" fillId="2" borderId="4" xfId="0" applyNumberFormat="1" applyFont="1" applyFill="1" applyBorder="1" applyAlignment="1">
      <alignment horizontal="center"/>
    </xf>
    <xf numFmtId="0" fontId="4" fillId="0" borderId="12" xfId="0" applyFont="1" applyBorder="1"/>
    <xf numFmtId="166" fontId="4" fillId="0" borderId="2" xfId="0" applyNumberFormat="1" applyFont="1" applyBorder="1"/>
    <xf numFmtId="0" fontId="4" fillId="0" borderId="5" xfId="0" applyFont="1" applyBorder="1" applyAlignment="1">
      <alignment horizontal="center" wrapText="1"/>
    </xf>
    <xf numFmtId="0" fontId="4" fillId="0" borderId="7" xfId="0" applyFont="1" applyBorder="1" applyAlignment="1">
      <alignment wrapText="1"/>
    </xf>
    <xf numFmtId="44" fontId="4" fillId="0" borderId="4" xfId="1" applyFont="1" applyFill="1" applyBorder="1"/>
    <xf numFmtId="0" fontId="17" fillId="4" borderId="0" xfId="0" applyFont="1" applyFill="1" applyAlignment="1">
      <alignment vertical="center"/>
    </xf>
    <xf numFmtId="0" fontId="25" fillId="0" borderId="0" xfId="0" applyFont="1" applyAlignment="1">
      <alignment vertical="center"/>
    </xf>
    <xf numFmtId="0" fontId="22" fillId="6" borderId="0" xfId="0" applyFont="1" applyFill="1" applyAlignment="1">
      <alignment horizontal="right" vertical="top"/>
    </xf>
    <xf numFmtId="8" fontId="22" fillId="6" borderId="0" xfId="0" applyNumberFormat="1" applyFont="1" applyFill="1" applyAlignment="1">
      <alignment horizontal="right" vertical="top"/>
    </xf>
    <xf numFmtId="0" fontId="18" fillId="0" borderId="0" xfId="0" applyFont="1" applyAlignment="1">
      <alignment vertical="center"/>
    </xf>
    <xf numFmtId="0" fontId="20" fillId="0" borderId="0" xfId="0" applyFont="1" applyAlignment="1">
      <alignment vertical="center"/>
    </xf>
    <xf numFmtId="0" fontId="13" fillId="5" borderId="0" xfId="0" applyFont="1" applyFill="1" applyAlignment="1">
      <alignment horizontal="center" vertical="center"/>
    </xf>
    <xf numFmtId="0" fontId="13" fillId="5" borderId="0" xfId="0" applyFont="1" applyFill="1" applyAlignment="1">
      <alignment horizontal="left" vertical="center"/>
    </xf>
    <xf numFmtId="0" fontId="23" fillId="0" borderId="0" xfId="0" applyFont="1" applyAlignment="1">
      <alignment vertical="top"/>
    </xf>
    <xf numFmtId="0" fontId="24" fillId="0" borderId="0" xfId="0" applyFont="1" applyAlignment="1">
      <alignment horizontal="center" vertical="center"/>
    </xf>
    <xf numFmtId="0" fontId="22" fillId="0" borderId="0" xfId="0" applyFont="1" applyAlignment="1">
      <alignment vertical="top"/>
    </xf>
    <xf numFmtId="0" fontId="22" fillId="6" borderId="0" xfId="0" applyFont="1" applyFill="1" applyAlignment="1">
      <alignment vertical="top"/>
    </xf>
    <xf numFmtId="0" fontId="0" fillId="7" borderId="0" xfId="0" applyFill="1" applyAlignment="1">
      <alignment vertical="top"/>
    </xf>
    <xf numFmtId="0" fontId="0" fillId="7" borderId="0" xfId="0" applyFill="1" applyAlignment="1">
      <alignment horizontal="left" vertical="top"/>
    </xf>
    <xf numFmtId="0" fontId="0" fillId="4" borderId="0" xfId="0" applyFill="1"/>
    <xf numFmtId="0" fontId="4" fillId="0" borderId="17" xfId="0" applyFont="1" applyBorder="1"/>
    <xf numFmtId="0" fontId="4" fillId="0" borderId="18" xfId="0" applyFont="1" applyBorder="1"/>
    <xf numFmtId="0" fontId="4" fillId="0" borderId="19" xfId="0" applyFont="1" applyBorder="1"/>
    <xf numFmtId="0" fontId="4" fillId="0" borderId="20" xfId="0" applyFont="1" applyBorder="1"/>
    <xf numFmtId="3" fontId="4" fillId="0" borderId="20" xfId="0" applyNumberFormat="1" applyFont="1" applyBorder="1"/>
    <xf numFmtId="0" fontId="6" fillId="0" borderId="21" xfId="0" applyFont="1" applyBorder="1" applyAlignment="1">
      <alignment horizontal="left"/>
    </xf>
    <xf numFmtId="168" fontId="4" fillId="0" borderId="18" xfId="0" applyNumberFormat="1" applyFont="1" applyBorder="1" applyAlignment="1">
      <alignment horizontal="right"/>
    </xf>
    <xf numFmtId="0" fontId="3" fillId="0" borderId="17" xfId="0" applyFont="1" applyBorder="1"/>
    <xf numFmtId="0" fontId="3" fillId="0" borderId="18" xfId="0" applyFont="1" applyBorder="1"/>
    <xf numFmtId="0" fontId="4" fillId="2" borderId="4" xfId="0" applyFont="1" applyFill="1" applyBorder="1"/>
    <xf numFmtId="0" fontId="3" fillId="3" borderId="0" xfId="0" applyFont="1" applyFill="1"/>
    <xf numFmtId="0" fontId="4" fillId="3" borderId="0" xfId="0" applyFont="1" applyFill="1"/>
    <xf numFmtId="44" fontId="4" fillId="3" borderId="4" xfId="1" applyFont="1" applyFill="1" applyBorder="1"/>
    <xf numFmtId="0" fontId="3" fillId="3" borderId="14" xfId="0" applyFont="1" applyFill="1" applyBorder="1"/>
    <xf numFmtId="0" fontId="4" fillId="3" borderId="15" xfId="0" applyFont="1" applyFill="1" applyBorder="1"/>
    <xf numFmtId="0" fontId="4" fillId="3" borderId="16" xfId="0" applyFont="1" applyFill="1" applyBorder="1"/>
    <xf numFmtId="0" fontId="9" fillId="0" borderId="0" xfId="0" applyFont="1"/>
    <xf numFmtId="0" fontId="4" fillId="0" borderId="11" xfId="0" applyFont="1" applyBorder="1"/>
    <xf numFmtId="0" fontId="26" fillId="0" borderId="0" xfId="0" applyFont="1"/>
    <xf numFmtId="0" fontId="26" fillId="0" borderId="4" xfId="0" applyFont="1" applyBorder="1" applyAlignment="1">
      <alignment horizontal="center"/>
    </xf>
    <xf numFmtId="0" fontId="26" fillId="0" borderId="3" xfId="0" applyFont="1" applyBorder="1" applyAlignment="1">
      <alignment horizontal="center"/>
    </xf>
    <xf numFmtId="0" fontId="27" fillId="0" borderId="4" xfId="0" applyFont="1" applyBorder="1" applyAlignment="1">
      <alignment horizontal="center"/>
    </xf>
    <xf numFmtId="1" fontId="4" fillId="0" borderId="1" xfId="0" applyNumberFormat="1" applyFont="1" applyBorder="1" applyAlignment="1">
      <alignment horizontal="center"/>
    </xf>
    <xf numFmtId="1" fontId="4" fillId="0" borderId="2" xfId="0" applyNumberFormat="1" applyFont="1" applyBorder="1" applyAlignment="1">
      <alignment horizontal="center"/>
    </xf>
    <xf numFmtId="1" fontId="26" fillId="0" borderId="2" xfId="0" applyNumberFormat="1" applyFont="1" applyBorder="1" applyAlignment="1">
      <alignment horizontal="center"/>
    </xf>
    <xf numFmtId="164" fontId="26" fillId="0" borderId="3" xfId="0" applyNumberFormat="1" applyFont="1" applyBorder="1" applyAlignment="1">
      <alignment horizontal="center"/>
    </xf>
    <xf numFmtId="166" fontId="6" fillId="0" borderId="0" xfId="0" applyNumberFormat="1" applyFont="1"/>
    <xf numFmtId="9" fontId="4" fillId="0" borderId="0" xfId="2" applyFont="1" applyAlignment="1">
      <alignment horizontal="center"/>
    </xf>
    <xf numFmtId="1" fontId="26" fillId="0" borderId="1" xfId="0" applyNumberFormat="1" applyFont="1" applyBorder="1" applyAlignment="1">
      <alignment horizontal="center"/>
    </xf>
    <xf numFmtId="2" fontId="4" fillId="0" borderId="0" xfId="0" applyNumberFormat="1" applyFont="1" applyAlignment="1">
      <alignment horizontal="center"/>
    </xf>
    <xf numFmtId="164" fontId="4" fillId="0" borderId="0" xfId="0" applyNumberFormat="1" applyFont="1" applyAlignment="1">
      <alignment horizontal="center"/>
    </xf>
    <xf numFmtId="0" fontId="28" fillId="0" borderId="0" xfId="0" applyFont="1"/>
    <xf numFmtId="0" fontId="29" fillId="3" borderId="5" xfId="0" applyFont="1" applyFill="1" applyBorder="1"/>
    <xf numFmtId="0" fontId="30" fillId="3" borderId="6" xfId="0" applyFont="1" applyFill="1" applyBorder="1"/>
    <xf numFmtId="0" fontId="30" fillId="3" borderId="7" xfId="0" applyFont="1" applyFill="1" applyBorder="1"/>
    <xf numFmtId="0" fontId="30" fillId="0" borderId="1" xfId="0" applyFont="1" applyBorder="1"/>
    <xf numFmtId="0" fontId="31" fillId="0" borderId="2" xfId="0" applyFont="1" applyBorder="1" applyAlignment="1">
      <alignment horizontal="center" wrapText="1"/>
    </xf>
    <xf numFmtId="0" fontId="31" fillId="0" borderId="3" xfId="0" applyFont="1" applyBorder="1" applyAlignment="1">
      <alignment horizontal="center" wrapText="1"/>
    </xf>
    <xf numFmtId="0" fontId="31" fillId="0" borderId="1" xfId="0" applyFont="1" applyBorder="1" applyAlignment="1">
      <alignment horizontal="center" wrapText="1"/>
    </xf>
    <xf numFmtId="0" fontId="31" fillId="0" borderId="1" xfId="0" applyFont="1" applyBorder="1"/>
    <xf numFmtId="165" fontId="30" fillId="0" borderId="2" xfId="0" applyNumberFormat="1" applyFont="1" applyBorder="1" applyAlignment="1">
      <alignment horizontal="center"/>
    </xf>
    <xf numFmtId="0" fontId="31" fillId="0" borderId="3" xfId="0" applyFont="1" applyBorder="1"/>
    <xf numFmtId="165" fontId="31" fillId="0" borderId="1" xfId="0" applyNumberFormat="1" applyFont="1" applyBorder="1" applyAlignment="1">
      <alignment horizontal="center"/>
    </xf>
    <xf numFmtId="9" fontId="3" fillId="0" borderId="0" xfId="2" applyFont="1" applyAlignment="1">
      <alignment horizontal="left"/>
    </xf>
    <xf numFmtId="1" fontId="5" fillId="0" borderId="0" xfId="0" applyNumberFormat="1" applyFont="1" applyAlignment="1">
      <alignment wrapText="1"/>
    </xf>
    <xf numFmtId="9" fontId="27" fillId="0" borderId="0" xfId="2" applyFont="1" applyAlignment="1">
      <alignment horizontal="center"/>
    </xf>
    <xf numFmtId="0" fontId="33" fillId="0" borderId="0" xfId="0" applyFont="1"/>
    <xf numFmtId="0" fontId="33" fillId="0" borderId="0" xfId="0" applyFont="1" applyAlignment="1">
      <alignment horizontal="left" vertical="top" wrapText="1"/>
    </xf>
    <xf numFmtId="0" fontId="36" fillId="2" borderId="0" xfId="0" applyFont="1" applyFill="1"/>
    <xf numFmtId="0" fontId="3" fillId="0" borderId="5" xfId="0" applyFont="1" applyBorder="1"/>
    <xf numFmtId="0" fontId="4" fillId="0" borderId="10" xfId="0" applyFont="1" applyBorder="1"/>
    <xf numFmtId="3" fontId="4" fillId="0" borderId="1" xfId="0" applyNumberFormat="1" applyFont="1" applyBorder="1"/>
    <xf numFmtId="0" fontId="3" fillId="0" borderId="6" xfId="0" applyFont="1" applyBorder="1"/>
    <xf numFmtId="0" fontId="3" fillId="0" borderId="1" xfId="0" applyFont="1" applyBorder="1"/>
    <xf numFmtId="0" fontId="3" fillId="0" borderId="3" xfId="0" applyFont="1" applyBorder="1"/>
    <xf numFmtId="165" fontId="4" fillId="0" borderId="0" xfId="0" applyNumberFormat="1" applyFont="1"/>
    <xf numFmtId="0" fontId="4" fillId="2" borderId="1" xfId="0" applyFont="1" applyFill="1" applyBorder="1"/>
    <xf numFmtId="0" fontId="4" fillId="2" borderId="2" xfId="0" applyFont="1" applyFill="1" applyBorder="1"/>
    <xf numFmtId="9" fontId="4" fillId="2" borderId="2" xfId="2" applyFont="1" applyFill="1" applyBorder="1"/>
    <xf numFmtId="0" fontId="38" fillId="0" borderId="0" xfId="0" applyFont="1"/>
    <xf numFmtId="0" fontId="4" fillId="0" borderId="0" xfId="0" applyFont="1" applyAlignment="1">
      <alignment horizontal="right"/>
    </xf>
    <xf numFmtId="0" fontId="4" fillId="0" borderId="8" xfId="0" applyFont="1" applyBorder="1" applyAlignment="1">
      <alignment horizontal="center"/>
    </xf>
    <xf numFmtId="0" fontId="4" fillId="0" borderId="7" xfId="0" applyFont="1" applyBorder="1" applyAlignment="1">
      <alignment horizontal="center"/>
    </xf>
    <xf numFmtId="0" fontId="4" fillId="0" borderId="13" xfId="0" applyFont="1" applyBorder="1" applyAlignment="1">
      <alignment horizontal="center"/>
    </xf>
    <xf numFmtId="0" fontId="26" fillId="0" borderId="1" xfId="0" applyFont="1" applyBorder="1"/>
    <xf numFmtId="0" fontId="26" fillId="0" borderId="4" xfId="0" applyFont="1" applyBorder="1"/>
    <xf numFmtId="1" fontId="26" fillId="0" borderId="4" xfId="0" applyNumberFormat="1" applyFont="1" applyBorder="1"/>
    <xf numFmtId="165" fontId="26" fillId="0" borderId="4" xfId="0" applyNumberFormat="1" applyFont="1" applyBorder="1"/>
    <xf numFmtId="0" fontId="4" fillId="0" borderId="4" xfId="0" quotePrefix="1" applyFont="1" applyBorder="1" applyAlignment="1">
      <alignment horizontal="right"/>
    </xf>
    <xf numFmtId="0" fontId="4" fillId="0" borderId="0" xfId="0" applyFont="1" applyAlignment="1">
      <alignment horizontal="left"/>
    </xf>
    <xf numFmtId="0" fontId="5" fillId="0" borderId="0" xfId="0" applyFont="1" applyAlignment="1">
      <alignment horizontal="center"/>
    </xf>
    <xf numFmtId="1" fontId="3" fillId="0" borderId="4" xfId="0" applyNumberFormat="1" applyFont="1" applyBorder="1" applyAlignment="1">
      <alignment horizontal="center"/>
    </xf>
    <xf numFmtId="0" fontId="35" fillId="0" borderId="0" xfId="0" applyFont="1"/>
    <xf numFmtId="3" fontId="35" fillId="0" borderId="0" xfId="0" applyNumberFormat="1" applyFont="1"/>
    <xf numFmtId="164" fontId="35" fillId="0" borderId="0" xfId="0" applyNumberFormat="1" applyFont="1"/>
    <xf numFmtId="0" fontId="35" fillId="0" borderId="4" xfId="0" applyFont="1" applyBorder="1" applyAlignment="1">
      <alignment horizontal="center"/>
    </xf>
    <xf numFmtId="171" fontId="4" fillId="0" borderId="2" xfId="0" applyNumberFormat="1" applyFont="1" applyBorder="1"/>
    <xf numFmtId="171" fontId="4" fillId="0" borderId="4" xfId="0" applyNumberFormat="1" applyFont="1" applyBorder="1"/>
    <xf numFmtId="171" fontId="4" fillId="2" borderId="4" xfId="0" applyNumberFormat="1" applyFont="1" applyFill="1" applyBorder="1"/>
    <xf numFmtId="171" fontId="4" fillId="0" borderId="4" xfId="0" applyNumberFormat="1" applyFont="1" applyBorder="1" applyAlignment="1">
      <alignment horizontal="right"/>
    </xf>
    <xf numFmtId="171" fontId="4" fillId="2" borderId="4" xfId="0" applyNumberFormat="1" applyFont="1" applyFill="1" applyBorder="1" applyAlignment="1">
      <alignment horizontal="right"/>
    </xf>
    <xf numFmtId="2" fontId="4" fillId="0" borderId="4" xfId="0" applyNumberFormat="1" applyFont="1" applyBorder="1" applyAlignment="1">
      <alignment horizontal="center"/>
    </xf>
    <xf numFmtId="9" fontId="35" fillId="0" borderId="0" xfId="0" applyNumberFormat="1" applyFont="1"/>
    <xf numFmtId="1" fontId="4" fillId="0" borderId="0" xfId="0" applyNumberFormat="1" applyFont="1" applyAlignment="1">
      <alignment horizontal="center"/>
    </xf>
    <xf numFmtId="166" fontId="4" fillId="0" borderId="0" xfId="0" applyNumberFormat="1" applyFont="1" applyAlignment="1">
      <alignment horizontal="center"/>
    </xf>
    <xf numFmtId="9" fontId="3" fillId="0" borderId="0" xfId="0" applyNumberFormat="1" applyFont="1"/>
    <xf numFmtId="165" fontId="3" fillId="0" borderId="0" xfId="0" applyNumberFormat="1" applyFont="1"/>
    <xf numFmtId="1" fontId="35" fillId="0" borderId="2" xfId="0" applyNumberFormat="1" applyFont="1" applyBorder="1" applyAlignment="1">
      <alignment wrapText="1"/>
    </xf>
    <xf numFmtId="0" fontId="6" fillId="0" borderId="2" xfId="0" applyFont="1" applyBorder="1" applyAlignment="1">
      <alignment wrapText="1"/>
    </xf>
    <xf numFmtId="169" fontId="35" fillId="0" borderId="2" xfId="2" applyNumberFormat="1" applyFont="1" applyBorder="1"/>
    <xf numFmtId="165" fontId="35" fillId="0" borderId="2" xfId="0" applyNumberFormat="1" applyFont="1" applyBorder="1" applyAlignment="1">
      <alignment wrapText="1"/>
    </xf>
    <xf numFmtId="2" fontId="35" fillId="0" borderId="2" xfId="0" applyNumberFormat="1" applyFont="1" applyBorder="1" applyAlignment="1">
      <alignment wrapText="1"/>
    </xf>
    <xf numFmtId="3" fontId="35" fillId="0" borderId="4" xfId="0" applyNumberFormat="1" applyFont="1" applyBorder="1" applyAlignment="1">
      <alignment horizontal="center"/>
    </xf>
    <xf numFmtId="3" fontId="4" fillId="2" borderId="1" xfId="0" applyNumberFormat="1" applyFont="1" applyFill="1" applyBorder="1"/>
    <xf numFmtId="3" fontId="4" fillId="0" borderId="3" xfId="0" applyNumberFormat="1" applyFont="1" applyBorder="1"/>
    <xf numFmtId="171" fontId="4" fillId="2" borderId="2" xfId="0" applyNumberFormat="1" applyFont="1" applyFill="1" applyBorder="1"/>
    <xf numFmtId="3" fontId="4" fillId="2" borderId="3" xfId="0" applyNumberFormat="1" applyFont="1" applyFill="1" applyBorder="1"/>
    <xf numFmtId="2" fontId="4" fillId="0" borderId="2" xfId="0" applyNumberFormat="1" applyFont="1" applyBorder="1"/>
    <xf numFmtId="0" fontId="0" fillId="0" borderId="2" xfId="0" applyBorder="1"/>
    <xf numFmtId="0" fontId="3" fillId="2" borderId="5" xfId="0" applyFont="1" applyFill="1" applyBorder="1"/>
    <xf numFmtId="0" fontId="4" fillId="2" borderId="6" xfId="0" applyFont="1" applyFill="1" applyBorder="1"/>
    <xf numFmtId="0" fontId="4" fillId="2" borderId="7" xfId="0" applyFont="1" applyFill="1" applyBorder="1"/>
    <xf numFmtId="0" fontId="6" fillId="0" borderId="3" xfId="0" applyFont="1" applyBorder="1" applyAlignment="1">
      <alignment horizontal="left"/>
    </xf>
    <xf numFmtId="0" fontId="3" fillId="2" borderId="22" xfId="0" applyFont="1" applyFill="1" applyBorder="1"/>
    <xf numFmtId="0" fontId="4" fillId="2" borderId="23" xfId="0" applyFont="1" applyFill="1" applyBorder="1"/>
    <xf numFmtId="0" fontId="4" fillId="2" borderId="24" xfId="0" applyFont="1" applyFill="1" applyBorder="1"/>
    <xf numFmtId="0" fontId="6" fillId="0" borderId="18" xfId="0" applyFont="1" applyBorder="1" applyAlignment="1">
      <alignment horizontal="left"/>
    </xf>
    <xf numFmtId="0" fontId="4" fillId="0" borderId="21" xfId="0" applyFont="1" applyBorder="1"/>
    <xf numFmtId="1" fontId="4" fillId="0" borderId="2" xfId="0" applyNumberFormat="1" applyFont="1" applyBorder="1" applyAlignment="1">
      <alignment horizontal="right"/>
    </xf>
    <xf numFmtId="0" fontId="4" fillId="0" borderId="4" xfId="0" applyFont="1" applyBorder="1" applyAlignment="1">
      <alignment wrapText="1"/>
    </xf>
    <xf numFmtId="3" fontId="6" fillId="0" borderId="4" xfId="0" applyNumberFormat="1" applyFont="1" applyBorder="1"/>
    <xf numFmtId="164" fontId="4" fillId="0" borderId="4" xfId="0" applyNumberFormat="1" applyFont="1" applyBorder="1"/>
    <xf numFmtId="164" fontId="6" fillId="0" borderId="4" xfId="0" applyNumberFormat="1" applyFont="1" applyBorder="1" applyAlignment="1">
      <alignment horizontal="center"/>
    </xf>
    <xf numFmtId="164" fontId="35" fillId="0" borderId="4" xfId="0" applyNumberFormat="1" applyFont="1" applyBorder="1" applyAlignment="1">
      <alignment horizontal="center"/>
    </xf>
    <xf numFmtId="3" fontId="4" fillId="0" borderId="4" xfId="0" applyNumberFormat="1" applyFont="1" applyBorder="1"/>
    <xf numFmtId="9" fontId="4" fillId="0" borderId="4" xfId="2" applyFont="1" applyBorder="1" applyAlignment="1">
      <alignment horizontal="center"/>
    </xf>
    <xf numFmtId="3" fontId="6" fillId="0" borderId="4" xfId="0" applyNumberFormat="1" applyFont="1" applyBorder="1" applyAlignment="1">
      <alignment horizontal="center"/>
    </xf>
    <xf numFmtId="0" fontId="4" fillId="10" borderId="0" xfId="0" applyFont="1" applyFill="1"/>
    <xf numFmtId="0" fontId="40" fillId="10" borderId="0" xfId="0" applyFont="1" applyFill="1"/>
    <xf numFmtId="0" fontId="3" fillId="0" borderId="0" xfId="0" applyFont="1" applyAlignment="1">
      <alignment horizontal="left"/>
    </xf>
    <xf numFmtId="0" fontId="4" fillId="0" borderId="5" xfId="0" applyFont="1" applyBorder="1" applyAlignment="1">
      <alignment horizontal="center"/>
    </xf>
    <xf numFmtId="0" fontId="4" fillId="0" borderId="26" xfId="0" applyFont="1" applyBorder="1" applyAlignment="1">
      <alignment horizontal="center"/>
    </xf>
    <xf numFmtId="0" fontId="4" fillId="0" borderId="27" xfId="0" applyFont="1" applyBorder="1" applyAlignment="1">
      <alignment horizontal="center"/>
    </xf>
    <xf numFmtId="0" fontId="4" fillId="0" borderId="28" xfId="0" applyFont="1" applyBorder="1" applyAlignment="1">
      <alignment horizontal="center"/>
    </xf>
    <xf numFmtId="0" fontId="4" fillId="0" borderId="29" xfId="0" applyFont="1" applyBorder="1"/>
    <xf numFmtId="0" fontId="4" fillId="0" borderId="26" xfId="0" applyFont="1" applyBorder="1" applyAlignment="1">
      <alignment horizontal="center" wrapText="1"/>
    </xf>
    <xf numFmtId="0" fontId="4" fillId="0" borderId="27" xfId="0" applyFont="1" applyBorder="1" applyAlignment="1">
      <alignment horizontal="center" wrapText="1"/>
    </xf>
    <xf numFmtId="0" fontId="4" fillId="0" borderId="2" xfId="0" applyFont="1" applyBorder="1" applyAlignment="1">
      <alignment horizontal="center" wrapText="1"/>
    </xf>
    <xf numFmtId="16" fontId="4" fillId="0" borderId="1" xfId="0" quotePrefix="1" applyNumberFormat="1" applyFont="1" applyBorder="1" applyAlignment="1">
      <alignment horizontal="center"/>
    </xf>
    <xf numFmtId="0" fontId="4" fillId="0" borderId="1" xfId="0" quotePrefix="1" applyFont="1" applyBorder="1" applyAlignment="1">
      <alignment horizontal="center"/>
    </xf>
    <xf numFmtId="12" fontId="4" fillId="0" borderId="1" xfId="0" applyNumberFormat="1" applyFont="1" applyBorder="1" applyAlignment="1">
      <alignment horizontal="center" wrapText="1"/>
    </xf>
    <xf numFmtId="0" fontId="4" fillId="0" borderId="31" xfId="0" applyFont="1" applyBorder="1" applyAlignment="1">
      <alignment horizontal="center" vertical="top" wrapText="1"/>
    </xf>
    <xf numFmtId="0" fontId="4" fillId="0" borderId="30" xfId="0" applyFont="1" applyBorder="1" applyAlignment="1">
      <alignment horizontal="center" wrapText="1"/>
    </xf>
    <xf numFmtId="0" fontId="4" fillId="0" borderId="30" xfId="0" applyFont="1" applyBorder="1" applyAlignment="1">
      <alignment horizontal="center"/>
    </xf>
    <xf numFmtId="0" fontId="4" fillId="0" borderId="32" xfId="0" applyFont="1" applyBorder="1" applyAlignment="1">
      <alignment horizontal="center"/>
    </xf>
    <xf numFmtId="0" fontId="37" fillId="10" borderId="0" xfId="0" applyFont="1" applyFill="1"/>
    <xf numFmtId="0" fontId="41" fillId="10" borderId="0" xfId="0" applyFont="1" applyFill="1"/>
    <xf numFmtId="0" fontId="4" fillId="0" borderId="10" xfId="0" applyFont="1" applyBorder="1" applyAlignment="1">
      <alignment wrapText="1"/>
    </xf>
    <xf numFmtId="0" fontId="4" fillId="0" borderId="10" xfId="0" applyFont="1" applyBorder="1" applyAlignment="1">
      <alignment horizontal="center" wrapText="1"/>
    </xf>
    <xf numFmtId="0" fontId="4" fillId="0" borderId="11" xfId="0" applyFont="1" applyBorder="1" applyAlignment="1">
      <alignment horizontal="center" wrapText="1"/>
    </xf>
    <xf numFmtId="0" fontId="4" fillId="0" borderId="25" xfId="0" applyFont="1" applyBorder="1" applyAlignment="1">
      <alignment horizontal="center" wrapText="1"/>
    </xf>
    <xf numFmtId="3" fontId="3" fillId="0" borderId="4" xfId="0" applyNumberFormat="1" applyFont="1" applyBorder="1"/>
    <xf numFmtId="2" fontId="4" fillId="0" borderId="4" xfId="0" applyNumberFormat="1" applyFont="1" applyBorder="1"/>
    <xf numFmtId="9" fontId="4" fillId="0" borderId="4" xfId="2" applyFont="1" applyBorder="1"/>
    <xf numFmtId="0" fontId="3" fillId="2" borderId="2" xfId="0" applyFont="1" applyFill="1" applyBorder="1"/>
    <xf numFmtId="170" fontId="4" fillId="2" borderId="2" xfId="1" applyNumberFormat="1" applyFont="1" applyFill="1" applyBorder="1"/>
    <xf numFmtId="0" fontId="40" fillId="0" borderId="0" xfId="0" applyFont="1"/>
    <xf numFmtId="0" fontId="32" fillId="0" borderId="2" xfId="5" applyBorder="1"/>
    <xf numFmtId="0" fontId="4" fillId="0" borderId="9" xfId="0" applyFont="1" applyBorder="1" applyAlignment="1">
      <alignment horizontal="center" wrapText="1"/>
    </xf>
    <xf numFmtId="6" fontId="4" fillId="0" borderId="2" xfId="1" applyNumberFormat="1" applyFont="1" applyBorder="1"/>
    <xf numFmtId="6" fontId="4" fillId="0" borderId="2" xfId="1" applyNumberFormat="1" applyFont="1" applyFill="1" applyBorder="1"/>
    <xf numFmtId="0" fontId="0" fillId="0" borderId="1" xfId="0" applyBorder="1"/>
    <xf numFmtId="3" fontId="4" fillId="2" borderId="4" xfId="0" applyNumberFormat="1" applyFont="1" applyFill="1" applyBorder="1"/>
    <xf numFmtId="0" fontId="3" fillId="10" borderId="0" xfId="0" applyFont="1" applyFill="1"/>
    <xf numFmtId="0" fontId="0" fillId="10" borderId="0" xfId="0" applyFill="1"/>
    <xf numFmtId="0" fontId="0" fillId="0" borderId="0" xfId="0" applyAlignment="1">
      <alignment horizontal="left" vertical="top" wrapText="1"/>
    </xf>
    <xf numFmtId="167" fontId="4" fillId="0" borderId="0" xfId="0" applyNumberFormat="1" applyFont="1"/>
    <xf numFmtId="165" fontId="4" fillId="0" borderId="2" xfId="0" applyNumberFormat="1" applyFont="1" applyBorder="1"/>
    <xf numFmtId="172" fontId="4" fillId="0" borderId="0" xfId="0" applyNumberFormat="1" applyFont="1"/>
    <xf numFmtId="0" fontId="0" fillId="0" borderId="4" xfId="0" applyBorder="1"/>
    <xf numFmtId="0" fontId="42" fillId="2" borderId="0" xfId="0" applyFont="1" applyFill="1"/>
    <xf numFmtId="3" fontId="4" fillId="0" borderId="0" xfId="0" applyNumberFormat="1" applyFont="1" applyAlignment="1">
      <alignment horizontal="right"/>
    </xf>
    <xf numFmtId="3" fontId="4" fillId="0" borderId="4" xfId="0" quotePrefix="1" applyNumberFormat="1" applyFont="1" applyBorder="1" applyAlignment="1">
      <alignment horizontal="right"/>
    </xf>
    <xf numFmtId="0" fontId="42" fillId="0" borderId="0" xfId="0" applyFont="1"/>
    <xf numFmtId="0" fontId="12" fillId="0" borderId="0" xfId="0" applyFont="1"/>
    <xf numFmtId="6" fontId="4" fillId="0" borderId="1" xfId="1" applyNumberFormat="1" applyFont="1" applyBorder="1"/>
    <xf numFmtId="6" fontId="4" fillId="0" borderId="1" xfId="1" applyNumberFormat="1" applyFont="1" applyFill="1" applyBorder="1"/>
    <xf numFmtId="166" fontId="4" fillId="0" borderId="4" xfId="0" quotePrefix="1" applyNumberFormat="1" applyFont="1" applyBorder="1" applyAlignment="1">
      <alignment horizontal="right"/>
    </xf>
    <xf numFmtId="166" fontId="4" fillId="0" borderId="0" xfId="0" applyNumberFormat="1" applyFont="1" applyAlignment="1">
      <alignment horizontal="right"/>
    </xf>
    <xf numFmtId="164" fontId="4" fillId="2" borderId="4" xfId="0" applyNumberFormat="1" applyFont="1" applyFill="1" applyBorder="1"/>
    <xf numFmtId="166" fontId="4" fillId="0" borderId="4" xfId="0" applyNumberFormat="1" applyFont="1" applyBorder="1"/>
    <xf numFmtId="0" fontId="43" fillId="13" borderId="36" xfId="6" applyFont="1" applyFill="1" applyBorder="1" applyAlignment="1">
      <alignment horizontal="center" vertical="center" wrapText="1"/>
    </xf>
    <xf numFmtId="0" fontId="1" fillId="0" borderId="0" xfId="6"/>
    <xf numFmtId="0" fontId="2" fillId="14" borderId="36" xfId="6" applyFont="1" applyFill="1" applyBorder="1" applyAlignment="1">
      <alignment vertical="center"/>
    </xf>
    <xf numFmtId="3" fontId="2" fillId="14" borderId="36" xfId="6" applyNumberFormat="1" applyFont="1" applyFill="1" applyBorder="1" applyAlignment="1">
      <alignment vertical="center"/>
    </xf>
    <xf numFmtId="0" fontId="2" fillId="14" borderId="36" xfId="6" applyFont="1" applyFill="1" applyBorder="1" applyAlignment="1">
      <alignment horizontal="center" vertical="center"/>
    </xf>
    <xf numFmtId="0" fontId="1" fillId="0" borderId="0" xfId="6" applyAlignment="1">
      <alignment horizontal="center"/>
    </xf>
    <xf numFmtId="165" fontId="44" fillId="0" borderId="0" xfId="0" applyNumberFormat="1" applyFont="1"/>
    <xf numFmtId="0" fontId="0" fillId="0" borderId="2" xfId="0" applyBorder="1" applyAlignment="1">
      <alignment horizontal="center"/>
    </xf>
    <xf numFmtId="0" fontId="2" fillId="0" borderId="2" xfId="0" applyFont="1" applyBorder="1"/>
    <xf numFmtId="2" fontId="0" fillId="0" borderId="2" xfId="0" applyNumberFormat="1" applyBorder="1" applyAlignment="1">
      <alignment horizontal="center"/>
    </xf>
    <xf numFmtId="164" fontId="0" fillId="0" borderId="2" xfId="0" applyNumberFormat="1" applyBorder="1" applyAlignment="1">
      <alignment horizontal="center"/>
    </xf>
    <xf numFmtId="0" fontId="0" fillId="0" borderId="14" xfId="0" applyBorder="1"/>
    <xf numFmtId="0" fontId="0" fillId="0" borderId="15" xfId="0" applyBorder="1"/>
    <xf numFmtId="0" fontId="0" fillId="0" borderId="37" xfId="0" applyBorder="1"/>
    <xf numFmtId="0" fontId="2" fillId="0" borderId="17" xfId="0" applyFont="1" applyBorder="1"/>
    <xf numFmtId="2" fontId="0" fillId="0" borderId="18" xfId="0" applyNumberFormat="1" applyBorder="1" applyAlignment="1">
      <alignment horizontal="center"/>
    </xf>
    <xf numFmtId="0" fontId="2" fillId="0" borderId="19" xfId="0" applyFont="1" applyBorder="1"/>
    <xf numFmtId="0" fontId="2" fillId="0" borderId="20" xfId="0" applyFont="1" applyBorder="1"/>
    <xf numFmtId="2" fontId="0" fillId="0" borderId="20" xfId="0" applyNumberFormat="1" applyBorder="1" applyAlignment="1">
      <alignment horizontal="center"/>
    </xf>
    <xf numFmtId="164" fontId="0" fillId="0" borderId="20" xfId="0" applyNumberFormat="1" applyBorder="1" applyAlignment="1">
      <alignment horizontal="center"/>
    </xf>
    <xf numFmtId="0" fontId="33" fillId="0" borderId="9" xfId="0" applyFont="1" applyBorder="1" applyAlignment="1">
      <alignment horizontal="center" wrapText="1"/>
    </xf>
    <xf numFmtId="0" fontId="0" fillId="0" borderId="9" xfId="0" applyBorder="1" applyAlignment="1">
      <alignment horizontal="center" wrapText="1"/>
    </xf>
    <xf numFmtId="0" fontId="0" fillId="0" borderId="9" xfId="0" applyBorder="1" applyAlignment="1">
      <alignment horizontal="center"/>
    </xf>
    <xf numFmtId="0" fontId="0" fillId="0" borderId="9" xfId="0" applyBorder="1"/>
    <xf numFmtId="0" fontId="0" fillId="0" borderId="13" xfId="0" applyBorder="1" applyAlignment="1">
      <alignment horizontal="center" wrapText="1"/>
    </xf>
    <xf numFmtId="164" fontId="33" fillId="0" borderId="1" xfId="0" applyNumberFormat="1" applyFont="1" applyBorder="1" applyAlignment="1">
      <alignment horizontal="center"/>
    </xf>
    <xf numFmtId="2" fontId="0" fillId="0" borderId="3" xfId="0" applyNumberFormat="1" applyBorder="1" applyAlignment="1">
      <alignment horizontal="center"/>
    </xf>
    <xf numFmtId="164" fontId="0" fillId="0" borderId="1" xfId="0" applyNumberFormat="1" applyBorder="1" applyAlignment="1">
      <alignment horizontal="center"/>
    </xf>
    <xf numFmtId="0" fontId="0" fillId="0" borderId="41" xfId="0" applyBorder="1" applyAlignment="1">
      <alignment horizontal="center"/>
    </xf>
    <xf numFmtId="164" fontId="33" fillId="0" borderId="42" xfId="0" applyNumberFormat="1" applyFont="1" applyBorder="1" applyAlignment="1">
      <alignment horizontal="center"/>
    </xf>
    <xf numFmtId="2" fontId="0" fillId="0" borderId="43" xfId="0" applyNumberFormat="1" applyBorder="1" applyAlignment="1">
      <alignment horizontal="center"/>
    </xf>
    <xf numFmtId="164" fontId="0" fillId="0" borderId="42" xfId="0" applyNumberFormat="1" applyBorder="1" applyAlignment="1">
      <alignment horizontal="center"/>
    </xf>
    <xf numFmtId="2" fontId="2" fillId="0" borderId="43" xfId="0" applyNumberFormat="1" applyFont="1" applyBorder="1" applyAlignment="1">
      <alignment horizontal="center"/>
    </xf>
    <xf numFmtId="0" fontId="0" fillId="0" borderId="8" xfId="0" applyBorder="1" applyAlignment="1">
      <alignment horizontal="center"/>
    </xf>
    <xf numFmtId="0" fontId="0" fillId="0" borderId="8" xfId="0" applyBorder="1" applyAlignment="1">
      <alignment horizontal="center" wrapText="1"/>
    </xf>
    <xf numFmtId="0" fontId="0" fillId="0" borderId="7" xfId="0" applyBorder="1" applyAlignment="1">
      <alignment horizontal="center" wrapText="1"/>
    </xf>
    <xf numFmtId="0" fontId="0" fillId="0" borderId="39" xfId="0" applyBorder="1" applyAlignment="1">
      <alignment horizontal="center" wrapText="1"/>
    </xf>
    <xf numFmtId="0" fontId="0" fillId="0" borderId="38" xfId="0" applyBorder="1" applyAlignment="1">
      <alignment horizontal="center"/>
    </xf>
    <xf numFmtId="0" fontId="2" fillId="0" borderId="38" xfId="0" applyFont="1" applyBorder="1" applyAlignment="1">
      <alignment horizontal="center"/>
    </xf>
    <xf numFmtId="0" fontId="2" fillId="0" borderId="11" xfId="0" applyFont="1" applyBorder="1" applyAlignment="1">
      <alignment horizontal="center"/>
    </xf>
    <xf numFmtId="0" fontId="2" fillId="0" borderId="40" xfId="0" applyFont="1" applyBorder="1" applyAlignment="1">
      <alignment horizontal="center"/>
    </xf>
    <xf numFmtId="0" fontId="0" fillId="0" borderId="44" xfId="0" applyBorder="1" applyAlignment="1">
      <alignment horizontal="center"/>
    </xf>
    <xf numFmtId="0" fontId="0" fillId="0" borderId="23" xfId="0" applyBorder="1" applyAlignment="1">
      <alignment horizontal="center"/>
    </xf>
    <xf numFmtId="0" fontId="0" fillId="0" borderId="23" xfId="0" applyBorder="1"/>
    <xf numFmtId="0" fontId="0" fillId="0" borderId="24" xfId="0" applyBorder="1" applyAlignment="1">
      <alignment horizontal="center"/>
    </xf>
    <xf numFmtId="2" fontId="33" fillId="0" borderId="2" xfId="0" applyNumberFormat="1" applyFont="1" applyBorder="1" applyAlignment="1">
      <alignment horizontal="center"/>
    </xf>
    <xf numFmtId="2" fontId="33" fillId="0" borderId="18" xfId="0" applyNumberFormat="1" applyFont="1" applyBorder="1" applyAlignment="1">
      <alignment horizontal="center"/>
    </xf>
    <xf numFmtId="2" fontId="33" fillId="0" borderId="21" xfId="0" applyNumberFormat="1" applyFont="1" applyBorder="1" applyAlignment="1">
      <alignment horizontal="center"/>
    </xf>
    <xf numFmtId="0" fontId="0" fillId="0" borderId="45" xfId="0" applyBorder="1" applyAlignment="1">
      <alignment horizontal="left" vertical="top" wrapText="1"/>
    </xf>
    <xf numFmtId="0" fontId="0" fillId="0" borderId="46" xfId="0" applyBorder="1" applyAlignment="1">
      <alignment horizontal="center" vertical="top" wrapText="1"/>
    </xf>
    <xf numFmtId="0" fontId="0" fillId="0" borderId="26" xfId="0" applyBorder="1" applyAlignment="1">
      <alignment horizontal="left" vertical="top" wrapText="1"/>
    </xf>
    <xf numFmtId="0" fontId="0" fillId="0" borderId="27" xfId="0" applyBorder="1" applyAlignment="1">
      <alignment horizontal="center" vertical="top" wrapText="1"/>
    </xf>
    <xf numFmtId="0" fontId="0" fillId="0" borderId="28" xfId="0" applyBorder="1" applyAlignment="1">
      <alignment horizontal="left" vertical="top" wrapText="1"/>
    </xf>
    <xf numFmtId="0" fontId="0" fillId="0" borderId="29" xfId="0" applyBorder="1" applyAlignment="1">
      <alignment horizontal="center" vertical="top" wrapText="1"/>
    </xf>
    <xf numFmtId="0" fontId="0" fillId="0" borderId="47" xfId="0" applyBorder="1" applyAlignment="1">
      <alignment horizontal="left" vertical="top" wrapText="1"/>
    </xf>
    <xf numFmtId="0" fontId="0" fillId="0" borderId="41" xfId="0" applyBorder="1" applyAlignment="1">
      <alignment horizontal="center" vertical="top" wrapText="1"/>
    </xf>
    <xf numFmtId="0" fontId="0" fillId="0" borderId="48" xfId="0" applyBorder="1" applyAlignment="1">
      <alignment horizontal="left" vertical="top" wrapText="1"/>
    </xf>
    <xf numFmtId="0" fontId="0" fillId="0" borderId="39" xfId="0" applyBorder="1" applyAlignment="1">
      <alignment horizontal="center" vertical="top" wrapText="1"/>
    </xf>
    <xf numFmtId="0" fontId="0" fillId="2" borderId="51" xfId="0" applyFill="1" applyBorder="1"/>
    <xf numFmtId="0" fontId="0" fillId="2" borderId="54" xfId="0" applyFill="1" applyBorder="1" applyAlignment="1">
      <alignment horizontal="center" vertical="top"/>
    </xf>
    <xf numFmtId="0" fontId="0" fillId="2" borderId="33" xfId="0" applyFill="1" applyBorder="1"/>
    <xf numFmtId="0" fontId="0" fillId="2" borderId="35" xfId="0" applyFill="1" applyBorder="1"/>
    <xf numFmtId="0" fontId="0" fillId="2" borderId="34" xfId="0" applyFill="1" applyBorder="1"/>
    <xf numFmtId="0" fontId="0" fillId="2" borderId="14" xfId="0" applyFill="1" applyBorder="1"/>
    <xf numFmtId="0" fontId="0" fillId="2" borderId="15" xfId="0" applyFill="1" applyBorder="1"/>
    <xf numFmtId="0" fontId="0" fillId="2" borderId="4" xfId="0" applyFill="1" applyBorder="1"/>
    <xf numFmtId="0" fontId="45" fillId="2" borderId="52" xfId="0" applyFont="1" applyFill="1" applyBorder="1" applyAlignment="1">
      <alignment horizontal="left" vertical="top" wrapText="1"/>
    </xf>
    <xf numFmtId="0" fontId="45" fillId="2" borderId="35" xfId="0" applyFont="1" applyFill="1" applyBorder="1" applyAlignment="1">
      <alignment horizontal="left" vertical="top" wrapText="1"/>
    </xf>
    <xf numFmtId="0" fontId="45" fillId="2" borderId="53" xfId="0" applyFont="1" applyFill="1" applyBorder="1" applyAlignment="1">
      <alignment horizontal="left" vertical="top" wrapText="1"/>
    </xf>
    <xf numFmtId="9" fontId="33" fillId="0" borderId="0" xfId="2" applyFont="1"/>
    <xf numFmtId="0" fontId="12" fillId="10" borderId="0" xfId="0" applyFont="1" applyFill="1"/>
    <xf numFmtId="0" fontId="33" fillId="0" borderId="2" xfId="0" applyFont="1" applyBorder="1"/>
    <xf numFmtId="2" fontId="33" fillId="0" borderId="2" xfId="0" applyNumberFormat="1" applyFont="1" applyBorder="1"/>
    <xf numFmtId="1" fontId="0" fillId="0" borderId="2" xfId="0" applyNumberFormat="1" applyBorder="1"/>
    <xf numFmtId="9" fontId="0" fillId="0" borderId="2" xfId="2" applyFont="1" applyBorder="1"/>
    <xf numFmtId="9" fontId="33" fillId="0" borderId="2" xfId="2" applyFont="1" applyBorder="1"/>
    <xf numFmtId="0" fontId="46" fillId="0" borderId="2" xfId="5" applyFont="1" applyBorder="1"/>
    <xf numFmtId="0" fontId="33" fillId="0" borderId="0" xfId="0" applyFont="1" applyAlignment="1">
      <alignment horizontal="left" vertical="top"/>
    </xf>
    <xf numFmtId="1" fontId="35" fillId="15" borderId="2" xfId="0" applyNumberFormat="1" applyFont="1" applyFill="1" applyBorder="1" applyAlignment="1" applyProtection="1">
      <alignment wrapText="1"/>
      <protection locked="0"/>
    </xf>
    <xf numFmtId="169" fontId="35" fillId="15" borderId="2" xfId="2" applyNumberFormat="1" applyFont="1" applyFill="1" applyBorder="1" applyProtection="1">
      <protection locked="0"/>
    </xf>
    <xf numFmtId="2" fontId="35" fillId="15" borderId="2" xfId="0" applyNumberFormat="1" applyFont="1" applyFill="1" applyBorder="1" applyAlignment="1" applyProtection="1">
      <alignment wrapText="1"/>
      <protection locked="0"/>
    </xf>
    <xf numFmtId="165" fontId="35" fillId="15" borderId="2" xfId="0" applyNumberFormat="1" applyFont="1" applyFill="1" applyBorder="1" applyAlignment="1" applyProtection="1">
      <alignment wrapText="1"/>
      <protection locked="0"/>
    </xf>
    <xf numFmtId="9" fontId="35" fillId="15" borderId="0" xfId="0" applyNumberFormat="1" applyFont="1" applyFill="1" applyProtection="1">
      <protection locked="0"/>
    </xf>
    <xf numFmtId="0" fontId="35" fillId="15" borderId="0" xfId="0" applyFont="1" applyFill="1" applyAlignment="1" applyProtection="1">
      <alignment horizontal="right"/>
      <protection locked="0"/>
    </xf>
    <xf numFmtId="3" fontId="35" fillId="15" borderId="4" xfId="0" applyNumberFormat="1" applyFont="1" applyFill="1" applyBorder="1" applyAlignment="1" applyProtection="1">
      <alignment horizontal="center"/>
      <protection locked="0"/>
    </xf>
    <xf numFmtId="0" fontId="35" fillId="15" borderId="4" xfId="0" applyFont="1" applyFill="1" applyBorder="1" applyAlignment="1" applyProtection="1">
      <alignment horizontal="center"/>
      <protection locked="0"/>
    </xf>
    <xf numFmtId="0" fontId="35" fillId="15" borderId="0" xfId="0" applyFont="1" applyFill="1" applyProtection="1">
      <protection locked="0"/>
    </xf>
    <xf numFmtId="164" fontId="35" fillId="15" borderId="0" xfId="0" applyNumberFormat="1" applyFont="1" applyFill="1" applyProtection="1">
      <protection locked="0"/>
    </xf>
    <xf numFmtId="3" fontId="35" fillId="15" borderId="0" xfId="0" applyNumberFormat="1" applyFont="1" applyFill="1" applyProtection="1">
      <protection locked="0"/>
    </xf>
    <xf numFmtId="0" fontId="35" fillId="15" borderId="26" xfId="0" applyFont="1" applyFill="1" applyBorder="1" applyAlignment="1" applyProtection="1">
      <alignment horizontal="center"/>
      <protection locked="0"/>
    </xf>
    <xf numFmtId="0" fontId="35" fillId="15" borderId="30" xfId="0" applyFont="1" applyFill="1" applyBorder="1" applyAlignment="1" applyProtection="1">
      <alignment horizontal="center"/>
      <protection locked="0"/>
    </xf>
    <xf numFmtId="0" fontId="35" fillId="15" borderId="27" xfId="0" applyFont="1" applyFill="1" applyBorder="1" applyAlignment="1" applyProtection="1">
      <alignment horizontal="center"/>
      <protection locked="0"/>
    </xf>
    <xf numFmtId="0" fontId="35" fillId="15" borderId="2" xfId="0" applyFont="1" applyFill="1" applyBorder="1" applyAlignment="1" applyProtection="1">
      <alignment horizontal="center"/>
      <protection locked="0"/>
    </xf>
    <xf numFmtId="165" fontId="35" fillId="15" borderId="0" xfId="0" applyNumberFormat="1" applyFont="1" applyFill="1"/>
    <xf numFmtId="0" fontId="6" fillId="15" borderId="0" xfId="0" applyFont="1" applyFill="1"/>
    <xf numFmtId="0" fontId="12" fillId="0" borderId="1" xfId="0" applyFont="1" applyBorder="1"/>
    <xf numFmtId="0" fontId="12" fillId="0" borderId="2" xfId="0" applyFont="1" applyBorder="1"/>
    <xf numFmtId="3" fontId="12" fillId="0" borderId="2" xfId="0" applyNumberFormat="1" applyFont="1" applyBorder="1"/>
    <xf numFmtId="0" fontId="12" fillId="0" borderId="3" xfId="0" applyFont="1" applyBorder="1"/>
    <xf numFmtId="1" fontId="3" fillId="0" borderId="0" xfId="0" applyNumberFormat="1" applyFont="1"/>
    <xf numFmtId="9" fontId="33" fillId="0" borderId="0" xfId="2" applyFont="1" applyBorder="1"/>
    <xf numFmtId="0" fontId="6" fillId="10" borderId="0" xfId="0" applyFont="1" applyFill="1"/>
    <xf numFmtId="0" fontId="4" fillId="0" borderId="8" xfId="0" applyFont="1" applyBorder="1"/>
    <xf numFmtId="0" fontId="4" fillId="0" borderId="38" xfId="0" applyFont="1" applyBorder="1"/>
    <xf numFmtId="0" fontId="4" fillId="0" borderId="25" xfId="0" applyFont="1" applyBorder="1" applyAlignment="1">
      <alignment horizontal="right" wrapText="1"/>
    </xf>
    <xf numFmtId="0" fontId="4" fillId="0" borderId="12" xfId="0" applyFont="1" applyBorder="1" applyAlignment="1">
      <alignment horizontal="right" wrapText="1"/>
    </xf>
    <xf numFmtId="0" fontId="4" fillId="0" borderId="13" xfId="0" applyFont="1" applyBorder="1" applyAlignment="1">
      <alignment horizontal="right" wrapText="1"/>
    </xf>
    <xf numFmtId="164" fontId="35" fillId="15" borderId="2" xfId="0" applyNumberFormat="1" applyFont="1" applyFill="1" applyBorder="1" applyAlignment="1" applyProtection="1">
      <alignment wrapText="1"/>
      <protection locked="0"/>
    </xf>
    <xf numFmtId="0" fontId="4" fillId="3" borderId="1" xfId="0" applyFont="1" applyFill="1" applyBorder="1"/>
    <xf numFmtId="0" fontId="4" fillId="3" borderId="3" xfId="0" applyFont="1" applyFill="1" applyBorder="1"/>
    <xf numFmtId="0" fontId="0" fillId="0" borderId="25" xfId="0" applyBorder="1"/>
    <xf numFmtId="0" fontId="4" fillId="0" borderId="13" xfId="0" applyFont="1" applyBorder="1"/>
    <xf numFmtId="0" fontId="4" fillId="3" borderId="2" xfId="0" applyFont="1" applyFill="1" applyBorder="1"/>
    <xf numFmtId="3" fontId="4" fillId="0" borderId="0" xfId="0" applyNumberFormat="1" applyFont="1" applyAlignment="1">
      <alignment wrapText="1"/>
    </xf>
    <xf numFmtId="165" fontId="35" fillId="0" borderId="0" xfId="0" applyNumberFormat="1" applyFont="1" applyAlignment="1" applyProtection="1">
      <alignment wrapText="1"/>
      <protection locked="0"/>
    </xf>
    <xf numFmtId="0" fontId="4" fillId="0" borderId="0" xfId="0" applyFont="1" applyAlignment="1" applyProtection="1">
      <alignment horizontal="left" vertical="top" wrapText="1"/>
      <protection locked="0"/>
    </xf>
    <xf numFmtId="165" fontId="34" fillId="15" borderId="0" xfId="0" applyNumberFormat="1" applyFont="1" applyFill="1" applyProtection="1">
      <protection locked="0"/>
    </xf>
    <xf numFmtId="1" fontId="34" fillId="15" borderId="0" xfId="0" applyNumberFormat="1" applyFont="1" applyFill="1" applyProtection="1">
      <protection locked="0"/>
    </xf>
    <xf numFmtId="1" fontId="4" fillId="0" borderId="2" xfId="0" applyNumberFormat="1" applyFont="1" applyBorder="1"/>
    <xf numFmtId="1" fontId="3" fillId="0" borderId="4" xfId="0" applyNumberFormat="1" applyFont="1" applyBorder="1"/>
    <xf numFmtId="2" fontId="33" fillId="15" borderId="2" xfId="0" applyNumberFormat="1" applyFont="1" applyFill="1" applyBorder="1" applyAlignment="1" applyProtection="1">
      <alignment horizontal="center"/>
      <protection locked="0"/>
    </xf>
    <xf numFmtId="2" fontId="33" fillId="17" borderId="2" xfId="0" applyNumberFormat="1" applyFont="1" applyFill="1" applyBorder="1" applyAlignment="1" applyProtection="1">
      <alignment horizontal="center"/>
      <protection locked="0"/>
    </xf>
    <xf numFmtId="9" fontId="33" fillId="15" borderId="2" xfId="0" applyNumberFormat="1" applyFont="1" applyFill="1" applyBorder="1" applyProtection="1">
      <protection locked="0"/>
    </xf>
    <xf numFmtId="0" fontId="33" fillId="15" borderId="2" xfId="0" applyFont="1" applyFill="1" applyBorder="1" applyProtection="1">
      <protection locked="0"/>
    </xf>
    <xf numFmtId="10" fontId="33" fillId="15" borderId="2" xfId="0" applyNumberFormat="1" applyFont="1" applyFill="1" applyBorder="1" applyProtection="1">
      <protection locked="0"/>
    </xf>
    <xf numFmtId="0" fontId="47" fillId="0" borderId="0" xfId="0" applyFont="1" applyAlignment="1">
      <alignment horizontal="left" vertical="top" wrapText="1"/>
    </xf>
    <xf numFmtId="3" fontId="35" fillId="17" borderId="0" xfId="0" applyNumberFormat="1" applyFont="1" applyFill="1" applyProtection="1">
      <protection locked="0"/>
    </xf>
    <xf numFmtId="164" fontId="35" fillId="17" borderId="4" xfId="0" applyNumberFormat="1" applyFont="1" applyFill="1" applyBorder="1" applyAlignment="1" applyProtection="1">
      <alignment horizontal="center"/>
      <protection locked="0"/>
    </xf>
    <xf numFmtId="0" fontId="35" fillId="17" borderId="4" xfId="0" applyFont="1" applyFill="1" applyBorder="1" applyAlignment="1" applyProtection="1">
      <alignment horizontal="center"/>
      <protection locked="0"/>
    </xf>
    <xf numFmtId="3" fontId="4" fillId="0" borderId="9" xfId="0" applyNumberFormat="1" applyFont="1" applyBorder="1"/>
    <xf numFmtId="0" fontId="4" fillId="0" borderId="60" xfId="0" applyFont="1" applyBorder="1"/>
    <xf numFmtId="0" fontId="35" fillId="15" borderId="60" xfId="0" applyFont="1" applyFill="1" applyBorder="1" applyProtection="1">
      <protection locked="0"/>
    </xf>
    <xf numFmtId="0" fontId="6" fillId="15" borderId="60" xfId="0" applyFont="1" applyFill="1" applyBorder="1" applyProtection="1">
      <protection locked="0"/>
    </xf>
    <xf numFmtId="0" fontId="4" fillId="0" borderId="61" xfId="0" applyFont="1" applyBorder="1"/>
    <xf numFmtId="3" fontId="4" fillId="0" borderId="61" xfId="0" applyNumberFormat="1" applyFont="1" applyBorder="1" applyAlignment="1">
      <alignment wrapText="1"/>
    </xf>
    <xf numFmtId="1" fontId="35" fillId="15" borderId="61" xfId="0" applyNumberFormat="1" applyFont="1" applyFill="1" applyBorder="1" applyAlignment="1" applyProtection="1">
      <alignment wrapText="1"/>
      <protection locked="0"/>
    </xf>
    <xf numFmtId="0" fontId="4" fillId="0" borderId="61" xfId="0" applyFont="1" applyBorder="1" applyAlignment="1">
      <alignment wrapText="1"/>
    </xf>
    <xf numFmtId="0" fontId="32" fillId="0" borderId="61" xfId="5" applyBorder="1"/>
    <xf numFmtId="169" fontId="35" fillId="15" borderId="61" xfId="2" applyNumberFormat="1" applyFont="1" applyFill="1" applyBorder="1" applyProtection="1">
      <protection locked="0"/>
    </xf>
    <xf numFmtId="2" fontId="35" fillId="15" borderId="61" xfId="0" applyNumberFormat="1" applyFont="1" applyFill="1" applyBorder="1" applyAlignment="1" applyProtection="1">
      <alignment wrapText="1"/>
      <protection locked="0"/>
    </xf>
    <xf numFmtId="165" fontId="35" fillId="15" borderId="61" xfId="0" applyNumberFormat="1" applyFont="1" applyFill="1" applyBorder="1" applyAlignment="1" applyProtection="1">
      <alignment wrapText="1"/>
      <protection locked="0"/>
    </xf>
    <xf numFmtId="0" fontId="35" fillId="17" borderId="61" xfId="0" applyFont="1" applyFill="1" applyBorder="1" applyProtection="1">
      <protection locked="0"/>
    </xf>
    <xf numFmtId="0" fontId="35" fillId="15" borderId="61" xfId="0" applyFont="1" applyFill="1" applyBorder="1" applyProtection="1">
      <protection locked="0"/>
    </xf>
    <xf numFmtId="9" fontId="35" fillId="15" borderId="61" xfId="0" applyNumberFormat="1" applyFont="1" applyFill="1" applyBorder="1" applyProtection="1">
      <protection locked="0"/>
    </xf>
    <xf numFmtId="3" fontId="4" fillId="0" borderId="61" xfId="0" applyNumberFormat="1" applyFont="1" applyBorder="1"/>
    <xf numFmtId="0" fontId="35" fillId="15" borderId="61" xfId="0" applyFont="1" applyFill="1" applyBorder="1" applyAlignment="1" applyProtection="1">
      <alignment horizontal="right"/>
      <protection locked="0"/>
    </xf>
    <xf numFmtId="0" fontId="4" fillId="0" borderId="62" xfId="0" applyFont="1" applyBorder="1"/>
    <xf numFmtId="0" fontId="35" fillId="15" borderId="62" xfId="0" applyFont="1" applyFill="1" applyBorder="1" applyProtection="1">
      <protection locked="0"/>
    </xf>
    <xf numFmtId="164" fontId="35" fillId="15" borderId="60" xfId="0" applyNumberFormat="1" applyFont="1" applyFill="1" applyBorder="1" applyProtection="1">
      <protection locked="0"/>
    </xf>
    <xf numFmtId="164" fontId="35" fillId="15" borderId="61" xfId="0" applyNumberFormat="1" applyFont="1" applyFill="1" applyBorder="1" applyProtection="1">
      <protection locked="0"/>
    </xf>
    <xf numFmtId="3" fontId="35" fillId="15" borderId="61" xfId="0" applyNumberFormat="1" applyFont="1" applyFill="1" applyBorder="1" applyProtection="1">
      <protection locked="0"/>
    </xf>
    <xf numFmtId="3" fontId="35" fillId="17" borderId="60" xfId="0" applyNumberFormat="1" applyFont="1" applyFill="1" applyBorder="1" applyProtection="1">
      <protection locked="0"/>
    </xf>
    <xf numFmtId="3" fontId="35" fillId="17" borderId="61" xfId="0" applyNumberFormat="1" applyFont="1" applyFill="1" applyBorder="1" applyProtection="1">
      <protection locked="0"/>
    </xf>
    <xf numFmtId="164" fontId="4" fillId="0" borderId="61" xfId="0" applyNumberFormat="1" applyFont="1" applyBorder="1"/>
    <xf numFmtId="0" fontId="35" fillId="17" borderId="60" xfId="0" applyFont="1" applyFill="1" applyBorder="1" applyProtection="1">
      <protection locked="0"/>
    </xf>
    <xf numFmtId="9" fontId="35" fillId="17" borderId="60" xfId="0" applyNumberFormat="1" applyFont="1" applyFill="1" applyBorder="1" applyProtection="1">
      <protection locked="0"/>
    </xf>
    <xf numFmtId="0" fontId="0" fillId="18" borderId="0" xfId="0" applyFill="1"/>
    <xf numFmtId="0" fontId="0" fillId="19" borderId="0" xfId="0" applyFill="1"/>
    <xf numFmtId="0" fontId="48" fillId="18" borderId="0" xfId="0" applyFont="1" applyFill="1"/>
    <xf numFmtId="0" fontId="48" fillId="20" borderId="0" xfId="0" applyFont="1" applyFill="1"/>
    <xf numFmtId="0" fontId="48" fillId="19" borderId="0" xfId="0" applyFont="1" applyFill="1"/>
    <xf numFmtId="0" fontId="48" fillId="21" borderId="0" xfId="0" applyFont="1" applyFill="1"/>
    <xf numFmtId="0" fontId="48" fillId="16" borderId="0" xfId="0" applyFont="1" applyFill="1"/>
    <xf numFmtId="0" fontId="51" fillId="16" borderId="0" xfId="0" applyFont="1" applyFill="1" applyAlignment="1">
      <alignment horizontal="center" vertical="center" wrapText="1"/>
    </xf>
    <xf numFmtId="0" fontId="51" fillId="21" borderId="0" xfId="0" applyFont="1" applyFill="1" applyAlignment="1">
      <alignment vertical="center" wrapText="1"/>
    </xf>
    <xf numFmtId="0" fontId="51" fillId="16" borderId="0" xfId="0" applyFont="1" applyFill="1" applyAlignment="1">
      <alignment vertical="center" wrapText="1"/>
    </xf>
    <xf numFmtId="0" fontId="51" fillId="18" borderId="0" xfId="0" applyFont="1" applyFill="1" applyAlignment="1">
      <alignment vertical="center" wrapText="1"/>
    </xf>
    <xf numFmtId="0" fontId="51" fillId="19" borderId="0" xfId="0" applyFont="1" applyFill="1" applyAlignment="1">
      <alignment vertical="center" wrapText="1"/>
    </xf>
    <xf numFmtId="0" fontId="52" fillId="16" borderId="0" xfId="0" applyFont="1" applyFill="1" applyAlignment="1">
      <alignment vertical="center" wrapText="1"/>
    </xf>
    <xf numFmtId="14" fontId="50" fillId="16" borderId="0" xfId="0" applyNumberFormat="1" applyFont="1" applyFill="1" applyAlignment="1">
      <alignment vertical="center" wrapText="1"/>
    </xf>
    <xf numFmtId="0" fontId="53" fillId="16" borderId="0" xfId="0" applyFont="1" applyFill="1" applyAlignment="1">
      <alignment horizontal="right" vertical="center" wrapText="1"/>
    </xf>
    <xf numFmtId="14" fontId="53" fillId="16" borderId="0" xfId="0" applyNumberFormat="1" applyFont="1" applyFill="1" applyAlignment="1">
      <alignment vertical="center" wrapText="1"/>
    </xf>
    <xf numFmtId="0" fontId="0" fillId="16" borderId="0" xfId="0" applyFill="1"/>
    <xf numFmtId="0" fontId="12" fillId="20" borderId="0" xfId="7" applyFont="1" applyFill="1" applyAlignment="1">
      <alignment horizontal="right"/>
    </xf>
    <xf numFmtId="0" fontId="54" fillId="20" borderId="0" xfId="0" applyFont="1" applyFill="1"/>
    <xf numFmtId="0" fontId="55" fillId="20" borderId="0" xfId="7" applyFont="1" applyFill="1"/>
    <xf numFmtId="0" fontId="56" fillId="20" borderId="0" xfId="7" applyFont="1" applyFill="1" applyAlignment="1">
      <alignment horizontal="right"/>
    </xf>
    <xf numFmtId="0" fontId="57" fillId="20" borderId="0" xfId="7" applyFont="1" applyFill="1" applyAlignment="1">
      <alignment horizontal="right"/>
    </xf>
    <xf numFmtId="0" fontId="58" fillId="20" borderId="0" xfId="7" applyFont="1" applyFill="1"/>
    <xf numFmtId="0" fontId="56" fillId="20" borderId="0" xfId="7" applyFont="1" applyFill="1" applyAlignment="1">
      <alignment horizontal="right" vertical="top" wrapText="1"/>
    </xf>
    <xf numFmtId="0" fontId="59" fillId="20" borderId="0" xfId="0" applyFont="1" applyFill="1" applyAlignment="1">
      <alignment vertical="top"/>
    </xf>
    <xf numFmtId="0" fontId="59" fillId="20" borderId="0" xfId="7" applyFont="1" applyFill="1"/>
    <xf numFmtId="0" fontId="60" fillId="20" borderId="0" xfId="0" applyFont="1" applyFill="1"/>
    <xf numFmtId="0" fontId="61" fillId="20" borderId="0" xfId="7" applyFont="1" applyFill="1"/>
    <xf numFmtId="0" fontId="58" fillId="20" borderId="0" xfId="0" applyFont="1" applyFill="1"/>
    <xf numFmtId="0" fontId="58" fillId="20" borderId="0" xfId="7" applyFont="1" applyFill="1" applyAlignment="1">
      <alignment vertical="top"/>
    </xf>
    <xf numFmtId="0" fontId="61" fillId="20" borderId="0" xfId="7" applyFont="1" applyFill="1" applyAlignment="1">
      <alignment vertical="top"/>
    </xf>
    <xf numFmtId="0" fontId="62" fillId="20" borderId="0" xfId="7" applyFont="1" applyFill="1" applyAlignment="1">
      <alignment vertical="top"/>
    </xf>
    <xf numFmtId="0" fontId="62" fillId="20" borderId="0" xfId="7" applyFont="1" applyFill="1"/>
    <xf numFmtId="0" fontId="59" fillId="22" borderId="64" xfId="0" applyFont="1" applyFill="1" applyBorder="1" applyAlignment="1">
      <alignment vertical="top"/>
    </xf>
    <xf numFmtId="0" fontId="59" fillId="0" borderId="0" xfId="0" applyFont="1" applyAlignment="1">
      <alignment vertical="top"/>
    </xf>
    <xf numFmtId="0" fontId="3" fillId="19" borderId="0" xfId="0" applyFont="1" applyFill="1" applyAlignment="1">
      <alignment horizontal="center"/>
    </xf>
    <xf numFmtId="0" fontId="56" fillId="20" borderId="0" xfId="7" applyFont="1" applyFill="1" applyAlignment="1">
      <alignment horizontal="right" vertical="top"/>
    </xf>
    <xf numFmtId="0" fontId="59" fillId="15" borderId="63" xfId="0" applyFont="1" applyFill="1" applyBorder="1" applyAlignment="1">
      <alignment vertical="top"/>
    </xf>
    <xf numFmtId="0" fontId="4" fillId="0" borderId="6" xfId="0" applyFont="1" applyBorder="1" applyAlignment="1">
      <alignment horizontal="center"/>
    </xf>
    <xf numFmtId="0" fontId="4" fillId="0" borderId="3" xfId="0" applyFont="1" applyBorder="1" applyAlignment="1">
      <alignment horizontal="center"/>
    </xf>
    <xf numFmtId="0" fontId="4" fillId="9" borderId="0" xfId="0" applyFont="1" applyFill="1" applyAlignment="1">
      <alignment horizontal="center" wrapText="1"/>
    </xf>
    <xf numFmtId="0" fontId="30" fillId="0" borderId="0" xfId="0" applyFont="1"/>
    <xf numFmtId="0" fontId="64" fillId="0" borderId="0" xfId="0" applyFont="1"/>
    <xf numFmtId="0" fontId="30" fillId="0" borderId="0" xfId="0" applyFont="1" applyAlignment="1">
      <alignment horizontal="center" vertical="top"/>
    </xf>
    <xf numFmtId="0" fontId="30" fillId="0" borderId="1" xfId="0" applyFont="1" applyBorder="1" applyAlignment="1">
      <alignment vertical="center"/>
    </xf>
    <xf numFmtId="0" fontId="30" fillId="0" borderId="2" xfId="0" applyFont="1" applyBorder="1" applyAlignment="1">
      <alignment vertical="center"/>
    </xf>
    <xf numFmtId="0" fontId="30" fillId="0" borderId="4" xfId="0" applyFont="1" applyBorder="1" applyAlignment="1">
      <alignment horizontal="center"/>
    </xf>
    <xf numFmtId="0" fontId="30" fillId="0" borderId="4" xfId="0" applyFont="1" applyBorder="1" applyAlignment="1">
      <alignment horizontal="left"/>
    </xf>
    <xf numFmtId="0" fontId="30" fillId="0" borderId="4" xfId="0" applyFont="1" applyBorder="1"/>
    <xf numFmtId="0" fontId="65" fillId="0" borderId="0" xfId="0" applyFont="1"/>
    <xf numFmtId="0" fontId="65" fillId="0" borderId="0" xfId="0" quotePrefix="1" applyFont="1"/>
    <xf numFmtId="0" fontId="4" fillId="0" borderId="0" xfId="0" quotePrefix="1" applyFont="1"/>
    <xf numFmtId="0" fontId="30" fillId="3" borderId="4" xfId="0" applyFont="1" applyFill="1" applyBorder="1" applyAlignment="1">
      <alignment wrapText="1"/>
    </xf>
    <xf numFmtId="0" fontId="30" fillId="3" borderId="4" xfId="0" applyFont="1" applyFill="1" applyBorder="1" applyAlignment="1">
      <alignment horizontal="center" wrapText="1"/>
    </xf>
    <xf numFmtId="0" fontId="30" fillId="3" borderId="1" xfId="0" applyFont="1" applyFill="1" applyBorder="1" applyAlignment="1">
      <alignment horizontal="left"/>
    </xf>
    <xf numFmtId="0" fontId="30" fillId="3" borderId="2" xfId="0" applyFont="1" applyFill="1" applyBorder="1"/>
    <xf numFmtId="0" fontId="30" fillId="3" borderId="3" xfId="0" applyFont="1" applyFill="1" applyBorder="1"/>
    <xf numFmtId="3" fontId="30" fillId="0" borderId="4" xfId="0" applyNumberFormat="1" applyFont="1" applyBorder="1" applyAlignment="1">
      <alignment horizontal="center"/>
    </xf>
    <xf numFmtId="0" fontId="64" fillId="3" borderId="4" xfId="0" applyFont="1" applyFill="1" applyBorder="1"/>
    <xf numFmtId="0" fontId="30" fillId="3" borderId="4" xfId="0" applyFont="1" applyFill="1" applyBorder="1" applyAlignment="1">
      <alignment horizontal="center"/>
    </xf>
    <xf numFmtId="3" fontId="64" fillId="3" borderId="4" xfId="0" applyNumberFormat="1" applyFont="1" applyFill="1" applyBorder="1" applyAlignment="1">
      <alignment horizontal="center"/>
    </xf>
    <xf numFmtId="0" fontId="30" fillId="3" borderId="1" xfId="0" applyFont="1" applyFill="1" applyBorder="1"/>
    <xf numFmtId="0" fontId="64" fillId="3" borderId="4" xfId="0" applyFont="1" applyFill="1" applyBorder="1" applyAlignment="1">
      <alignment horizontal="center" wrapText="1"/>
    </xf>
    <xf numFmtId="0" fontId="64" fillId="3" borderId="4" xfId="0" applyFont="1" applyFill="1" applyBorder="1" applyAlignment="1">
      <alignment horizontal="center"/>
    </xf>
    <xf numFmtId="0" fontId="64" fillId="0" borderId="0" xfId="0" applyFont="1" applyAlignment="1">
      <alignment vertical="center"/>
    </xf>
    <xf numFmtId="0" fontId="67" fillId="0" borderId="0" xfId="5" applyFont="1"/>
    <xf numFmtId="49" fontId="3" fillId="0" borderId="0" xfId="0" applyNumberFormat="1" applyFont="1"/>
    <xf numFmtId="0" fontId="30" fillId="3" borderId="4" xfId="6" applyFont="1" applyFill="1" applyBorder="1" applyAlignment="1">
      <alignment horizontal="center" wrapText="1"/>
    </xf>
    <xf numFmtId="0" fontId="30" fillId="3" borderId="4" xfId="6" applyFont="1" applyFill="1" applyBorder="1" applyAlignment="1">
      <alignment horizontal="center"/>
    </xf>
    <xf numFmtId="0" fontId="4" fillId="17" borderId="61" xfId="0" applyFont="1" applyFill="1" applyBorder="1"/>
    <xf numFmtId="0" fontId="32" fillId="0" borderId="0" xfId="5"/>
    <xf numFmtId="165" fontId="4" fillId="0" borderId="4" xfId="0" applyNumberFormat="1" applyFont="1" applyBorder="1" applyAlignment="1">
      <alignment horizontal="center"/>
    </xf>
    <xf numFmtId="0" fontId="3" fillId="0" borderId="12" xfId="0" applyFont="1" applyBorder="1"/>
    <xf numFmtId="0" fontId="4" fillId="0" borderId="12" xfId="0" applyFont="1" applyBorder="1" applyAlignment="1">
      <alignment horizontal="center"/>
    </xf>
    <xf numFmtId="171" fontId="4" fillId="0" borderId="12" xfId="0" applyNumberFormat="1" applyFont="1" applyBorder="1" applyAlignment="1">
      <alignment horizontal="center"/>
    </xf>
    <xf numFmtId="171" fontId="0" fillId="0" borderId="0" xfId="0" applyNumberFormat="1"/>
    <xf numFmtId="0" fontId="33" fillId="10" borderId="0" xfId="0" applyFont="1" applyFill="1"/>
    <xf numFmtId="171" fontId="4" fillId="0" borderId="12" xfId="0" applyNumberFormat="1" applyFont="1" applyBorder="1" applyAlignment="1">
      <alignment horizontal="right"/>
    </xf>
    <xf numFmtId="9" fontId="0" fillId="15" borderId="0" xfId="0" applyNumberFormat="1" applyFill="1" applyProtection="1">
      <protection locked="0"/>
    </xf>
    <xf numFmtId="0" fontId="0" fillId="17" borderId="0" xfId="0" applyFill="1" applyProtection="1">
      <protection locked="0"/>
    </xf>
    <xf numFmtId="0" fontId="0" fillId="17" borderId="0" xfId="0" applyFill="1"/>
    <xf numFmtId="171" fontId="33" fillId="17" borderId="0" xfId="0" applyNumberFormat="1" applyFont="1" applyFill="1" applyProtection="1">
      <protection locked="0"/>
    </xf>
    <xf numFmtId="0" fontId="35" fillId="17" borderId="2" xfId="0" applyFont="1" applyFill="1" applyBorder="1" applyAlignment="1" applyProtection="1">
      <alignment horizontal="center"/>
      <protection locked="0"/>
    </xf>
    <xf numFmtId="171" fontId="3" fillId="17" borderId="2" xfId="0" applyNumberFormat="1" applyFont="1" applyFill="1" applyBorder="1" applyProtection="1">
      <protection locked="0"/>
    </xf>
    <xf numFmtId="0" fontId="4" fillId="17" borderId="12" xfId="0" applyFont="1" applyFill="1" applyBorder="1"/>
    <xf numFmtId="0" fontId="35" fillId="17" borderId="1" xfId="0" applyFont="1" applyFill="1" applyBorder="1" applyAlignment="1" applyProtection="1">
      <alignment horizontal="left"/>
      <protection locked="0"/>
    </xf>
    <xf numFmtId="0" fontId="4" fillId="17" borderId="13" xfId="0" applyFont="1" applyFill="1" applyBorder="1"/>
    <xf numFmtId="171" fontId="3" fillId="0" borderId="2" xfId="0" applyNumberFormat="1" applyFont="1" applyBorder="1"/>
    <xf numFmtId="0" fontId="33" fillId="2" borderId="12" xfId="0" applyFont="1" applyFill="1" applyBorder="1"/>
    <xf numFmtId="171" fontId="33" fillId="2" borderId="12" xfId="0" applyNumberFormat="1" applyFont="1" applyFill="1" applyBorder="1"/>
    <xf numFmtId="0" fontId="35" fillId="15" borderId="12" xfId="0" applyFont="1" applyFill="1" applyBorder="1" applyProtection="1">
      <protection locked="0"/>
    </xf>
    <xf numFmtId="3" fontId="35" fillId="15" borderId="60" xfId="0" applyNumberFormat="1" applyFont="1" applyFill="1" applyBorder="1" applyProtection="1">
      <protection locked="0"/>
    </xf>
    <xf numFmtId="14" fontId="50" fillId="16" borderId="0" xfId="0" applyNumberFormat="1" applyFont="1" applyFill="1" applyAlignment="1">
      <alignment horizontal="right" vertical="center" wrapText="1"/>
    </xf>
    <xf numFmtId="0" fontId="56" fillId="20" borderId="0" xfId="7" applyFont="1" applyFill="1" applyAlignment="1">
      <alignment horizontal="right" vertical="top" wrapText="1"/>
    </xf>
    <xf numFmtId="0" fontId="59" fillId="20" borderId="0" xfId="0" applyFont="1" applyFill="1" applyAlignment="1">
      <alignment horizontal="left" vertical="top" wrapText="1"/>
    </xf>
    <xf numFmtId="0" fontId="32" fillId="18" borderId="0" xfId="5" applyFill="1" applyAlignment="1">
      <alignment horizontal="left" wrapText="1"/>
    </xf>
    <xf numFmtId="0" fontId="63" fillId="19" borderId="0" xfId="5" applyFont="1" applyFill="1" applyAlignment="1">
      <alignment horizontal="left"/>
    </xf>
    <xf numFmtId="0" fontId="49" fillId="16" borderId="0" xfId="0" applyFont="1" applyFill="1" applyAlignment="1">
      <alignment horizontal="center" vertical="center" wrapText="1"/>
    </xf>
    <xf numFmtId="0" fontId="50" fillId="16" borderId="0" xfId="0" applyFont="1" applyFill="1" applyAlignment="1">
      <alignment horizontal="right" vertical="center" wrapText="1"/>
    </xf>
    <xf numFmtId="0" fontId="58" fillId="20" borderId="0" xfId="7" applyFont="1" applyFill="1" applyAlignment="1">
      <alignment horizontal="left" vertical="top" wrapText="1"/>
    </xf>
    <xf numFmtId="0" fontId="58" fillId="20" borderId="0" xfId="7" applyFont="1" applyFill="1" applyAlignment="1">
      <alignment horizontal="left" vertical="center" wrapText="1"/>
    </xf>
    <xf numFmtId="0" fontId="59" fillId="20" borderId="0" xfId="0" quotePrefix="1" applyFont="1" applyFill="1" applyAlignment="1">
      <alignment horizontal="left" vertical="top" wrapText="1"/>
    </xf>
    <xf numFmtId="0" fontId="59" fillId="20" borderId="0" xfId="0" applyFont="1" applyFill="1" applyAlignment="1">
      <alignment horizontal="left" vertical="top"/>
    </xf>
    <xf numFmtId="0" fontId="0" fillId="0" borderId="0" xfId="0" applyAlignment="1">
      <alignment horizontal="left" vertical="top" wrapText="1"/>
    </xf>
    <xf numFmtId="0" fontId="47" fillId="15" borderId="0" xfId="0" applyFont="1" applyFill="1" applyAlignment="1">
      <alignment horizontal="left" vertical="top" wrapText="1"/>
    </xf>
    <xf numFmtId="0" fontId="47" fillId="17" borderId="0" xfId="0" applyFont="1" applyFill="1" applyAlignment="1">
      <alignment horizontal="left" vertical="top" wrapText="1"/>
    </xf>
    <xf numFmtId="165" fontId="35" fillId="17" borderId="0" xfId="0" applyNumberFormat="1" applyFont="1" applyFill="1" applyAlignment="1" applyProtection="1">
      <alignment horizontal="left" wrapText="1"/>
      <protection locked="0"/>
    </xf>
    <xf numFmtId="0" fontId="4" fillId="0" borderId="0" xfId="0" applyFont="1" applyAlignment="1">
      <alignment horizontal="left" vertical="top" wrapText="1"/>
    </xf>
    <xf numFmtId="0" fontId="4" fillId="17" borderId="5" xfId="0" applyFont="1" applyFill="1" applyBorder="1" applyAlignment="1" applyProtection="1">
      <alignment horizontal="left" vertical="top" wrapText="1"/>
      <protection locked="0"/>
    </xf>
    <xf numFmtId="0" fontId="4" fillId="17" borderId="6" xfId="0" applyFont="1" applyFill="1" applyBorder="1" applyAlignment="1" applyProtection="1">
      <alignment horizontal="left" vertical="top" wrapText="1"/>
      <protection locked="0"/>
    </xf>
    <xf numFmtId="0" fontId="4" fillId="17" borderId="7" xfId="0" applyFont="1" applyFill="1" applyBorder="1" applyAlignment="1" applyProtection="1">
      <alignment horizontal="left" vertical="top" wrapText="1"/>
      <protection locked="0"/>
    </xf>
    <xf numFmtId="0" fontId="4" fillId="17" borderId="10" xfId="0" applyFont="1" applyFill="1" applyBorder="1" applyAlignment="1" applyProtection="1">
      <alignment horizontal="left" vertical="top" wrapText="1"/>
      <protection locked="0"/>
    </xf>
    <xf numFmtId="0" fontId="4" fillId="17" borderId="0" xfId="0" applyFont="1" applyFill="1" applyAlignment="1" applyProtection="1">
      <alignment horizontal="left" vertical="top" wrapText="1"/>
      <protection locked="0"/>
    </xf>
    <xf numFmtId="0" fontId="4" fillId="17" borderId="11" xfId="0" applyFont="1" applyFill="1" applyBorder="1" applyAlignment="1" applyProtection="1">
      <alignment horizontal="left" vertical="top" wrapText="1"/>
      <protection locked="0"/>
    </xf>
    <xf numFmtId="0" fontId="4" fillId="17" borderId="25" xfId="0" applyFont="1" applyFill="1" applyBorder="1" applyAlignment="1" applyProtection="1">
      <alignment horizontal="left" vertical="top" wrapText="1"/>
      <protection locked="0"/>
    </xf>
    <xf numFmtId="0" fontId="4" fillId="17" borderId="12" xfId="0" applyFont="1" applyFill="1" applyBorder="1" applyAlignment="1" applyProtection="1">
      <alignment horizontal="left" vertical="top" wrapText="1"/>
      <protection locked="0"/>
    </xf>
    <xf numFmtId="0" fontId="4" fillId="17" borderId="13" xfId="0" applyFont="1" applyFill="1" applyBorder="1" applyAlignment="1" applyProtection="1">
      <alignment horizontal="left" vertical="top" wrapText="1"/>
      <protection locked="0"/>
    </xf>
    <xf numFmtId="0" fontId="4" fillId="0" borderId="0" xfId="0" applyFont="1" applyAlignment="1">
      <alignment horizontal="left" vertical="top"/>
    </xf>
    <xf numFmtId="0" fontId="4" fillId="0" borderId="22" xfId="0" applyFont="1" applyBorder="1" applyAlignment="1">
      <alignment horizontal="center" vertical="top" wrapText="1"/>
    </xf>
    <xf numFmtId="0" fontId="4" fillId="0" borderId="24" xfId="0" applyFont="1" applyBorder="1" applyAlignment="1">
      <alignment horizontal="center" vertical="top" wrapText="1"/>
    </xf>
    <xf numFmtId="0" fontId="4" fillId="11" borderId="33" xfId="0" applyFont="1" applyFill="1" applyBorder="1" applyAlignment="1">
      <alignment horizontal="center" vertical="center"/>
    </xf>
    <xf numFmtId="0" fontId="4" fillId="11" borderId="35" xfId="0" applyFont="1" applyFill="1" applyBorder="1" applyAlignment="1">
      <alignment horizontal="center" vertical="center"/>
    </xf>
    <xf numFmtId="0" fontId="4" fillId="11" borderId="34" xfId="0" applyFont="1" applyFill="1" applyBorder="1" applyAlignment="1">
      <alignment horizontal="center" vertical="center"/>
    </xf>
    <xf numFmtId="0" fontId="35" fillId="15" borderId="61" xfId="0" applyFont="1" applyFill="1" applyBorder="1" applyAlignment="1" applyProtection="1">
      <alignment horizontal="left"/>
      <protection locked="0"/>
    </xf>
    <xf numFmtId="0" fontId="4" fillId="12" borderId="33" xfId="0" applyFont="1" applyFill="1" applyBorder="1" applyAlignment="1">
      <alignment horizontal="center" vertical="center"/>
    </xf>
    <xf numFmtId="0" fontId="4" fillId="12" borderId="34" xfId="0" applyFont="1" applyFill="1" applyBorder="1" applyAlignment="1">
      <alignment horizontal="center" vertical="center"/>
    </xf>
    <xf numFmtId="0" fontId="4" fillId="0" borderId="14" xfId="0" applyFont="1" applyBorder="1" applyAlignment="1">
      <alignment horizontal="center" vertical="top" wrapText="1"/>
    </xf>
    <xf numFmtId="0" fontId="4" fillId="0" borderId="16" xfId="0" applyFont="1" applyBorder="1" applyAlignment="1">
      <alignment horizontal="center" vertical="top" wrapText="1"/>
    </xf>
    <xf numFmtId="0" fontId="35" fillId="15" borderId="61" xfId="0" applyFont="1" applyFill="1" applyBorder="1" applyAlignment="1" applyProtection="1">
      <alignment horizontal="left" vertical="top"/>
      <protection locked="0"/>
    </xf>
    <xf numFmtId="0" fontId="35" fillId="15" borderId="12" xfId="0" applyFont="1" applyFill="1" applyBorder="1" applyAlignment="1" applyProtection="1">
      <alignment horizontal="left"/>
      <protection locked="0"/>
    </xf>
    <xf numFmtId="0" fontId="35" fillId="15" borderId="2" xfId="0" applyFont="1" applyFill="1" applyBorder="1" applyAlignment="1" applyProtection="1">
      <alignment horizontal="left" vertical="top"/>
      <protection locked="0"/>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1" xfId="0" applyFont="1" applyBorder="1" applyAlignment="1">
      <alignment horizontal="center"/>
    </xf>
    <xf numFmtId="0" fontId="4" fillId="0" borderId="3" xfId="0" applyFont="1" applyBorder="1" applyAlignment="1">
      <alignment horizontal="center"/>
    </xf>
    <xf numFmtId="0" fontId="4" fillId="0" borderId="2" xfId="0" applyFont="1" applyBorder="1" applyAlignment="1">
      <alignment horizontal="center"/>
    </xf>
    <xf numFmtId="0" fontId="0" fillId="15" borderId="55" xfId="0" applyFill="1" applyBorder="1" applyAlignment="1" applyProtection="1">
      <alignment horizontal="left" vertical="top" wrapText="1"/>
      <protection locked="0"/>
    </xf>
    <xf numFmtId="0" fontId="0" fillId="15" borderId="50" xfId="0" applyFill="1" applyBorder="1" applyAlignment="1" applyProtection="1">
      <alignment horizontal="left" vertical="top" wrapText="1"/>
      <protection locked="0"/>
    </xf>
    <xf numFmtId="0" fontId="0" fillId="15" borderId="57" xfId="0" applyFill="1" applyBorder="1" applyAlignment="1" applyProtection="1">
      <alignment horizontal="left" vertical="top" wrapText="1"/>
      <protection locked="0"/>
    </xf>
    <xf numFmtId="0" fontId="33" fillId="2" borderId="56" xfId="0" applyFont="1" applyFill="1" applyBorder="1" applyAlignment="1">
      <alignment horizontal="center"/>
    </xf>
    <xf numFmtId="0" fontId="33" fillId="2" borderId="16" xfId="0" applyFont="1" applyFill="1" applyBorder="1" applyAlignment="1">
      <alignment horizontal="center"/>
    </xf>
    <xf numFmtId="9" fontId="33" fillId="0" borderId="58" xfId="2" applyFont="1" applyBorder="1" applyAlignment="1">
      <alignment horizontal="center" vertical="top"/>
    </xf>
    <xf numFmtId="9" fontId="33" fillId="0" borderId="59" xfId="2" applyFont="1" applyBorder="1" applyAlignment="1">
      <alignment horizontal="center" vertical="top"/>
    </xf>
    <xf numFmtId="0" fontId="45" fillId="0" borderId="1" xfId="0" applyFont="1" applyBorder="1" applyAlignment="1">
      <alignment horizontal="left" vertical="top" wrapText="1"/>
    </xf>
    <xf numFmtId="0" fontId="45" fillId="0" borderId="2" xfId="0" applyFont="1" applyBorder="1" applyAlignment="1">
      <alignment horizontal="left" vertical="top" wrapText="1"/>
    </xf>
    <xf numFmtId="0" fontId="45" fillId="0" borderId="3" xfId="0" applyFont="1" applyBorder="1" applyAlignment="1">
      <alignment horizontal="left" vertical="top" wrapText="1"/>
    </xf>
    <xf numFmtId="0" fontId="45" fillId="0" borderId="44" xfId="0" applyFont="1" applyBorder="1" applyAlignment="1">
      <alignment horizontal="left" vertical="top" wrapText="1"/>
    </xf>
    <xf numFmtId="0" fontId="45" fillId="0" borderId="23" xfId="0" applyFont="1" applyBorder="1" applyAlignment="1">
      <alignment horizontal="left" vertical="top" wrapText="1"/>
    </xf>
    <xf numFmtId="0" fontId="45" fillId="0" borderId="49" xfId="0" applyFont="1" applyBorder="1" applyAlignment="1">
      <alignment horizontal="left" vertical="top" wrapText="1"/>
    </xf>
    <xf numFmtId="0" fontId="45" fillId="0" borderId="25" xfId="0" applyFont="1" applyBorder="1" applyAlignment="1">
      <alignment horizontal="left" vertical="top" wrapText="1"/>
    </xf>
    <xf numFmtId="0" fontId="45" fillId="0" borderId="12" xfId="0" applyFont="1" applyBorder="1" applyAlignment="1">
      <alignment horizontal="left" vertical="top" wrapText="1"/>
    </xf>
    <xf numFmtId="0" fontId="45" fillId="0" borderId="13" xfId="0" applyFont="1" applyBorder="1" applyAlignment="1">
      <alignment horizontal="left" vertical="top" wrapText="1"/>
    </xf>
    <xf numFmtId="0" fontId="45" fillId="0" borderId="42" xfId="0" applyFont="1" applyBorder="1" applyAlignment="1">
      <alignment horizontal="left" vertical="top" wrapText="1"/>
    </xf>
    <xf numFmtId="0" fontId="45" fillId="0" borderId="20" xfId="0" applyFont="1" applyBorder="1" applyAlignment="1">
      <alignment horizontal="left" vertical="top" wrapText="1"/>
    </xf>
    <xf numFmtId="0" fontId="45" fillId="0" borderId="43" xfId="0" applyFont="1" applyBorder="1" applyAlignment="1">
      <alignment horizontal="left" vertical="top" wrapText="1"/>
    </xf>
    <xf numFmtId="0" fontId="64" fillId="0" borderId="1" xfId="0" applyFont="1" applyBorder="1" applyAlignment="1">
      <alignment vertical="center"/>
    </xf>
    <xf numFmtId="0" fontId="64" fillId="0" borderId="2" xfId="0" applyFont="1" applyBorder="1" applyAlignment="1">
      <alignment vertical="center"/>
    </xf>
    <xf numFmtId="0" fontId="64" fillId="0" borderId="3" xfId="0" applyFont="1" applyBorder="1" applyAlignment="1">
      <alignment vertical="center"/>
    </xf>
    <xf numFmtId="0" fontId="30" fillId="0" borderId="1" xfId="0" applyFont="1" applyBorder="1" applyAlignment="1">
      <alignment vertical="center"/>
    </xf>
    <xf numFmtId="0" fontId="30" fillId="0" borderId="2" xfId="0" applyFont="1" applyBorder="1" applyAlignment="1">
      <alignment vertical="center"/>
    </xf>
    <xf numFmtId="0" fontId="30" fillId="0" borderId="3" xfId="0" applyFont="1" applyBorder="1" applyAlignment="1">
      <alignment vertical="center"/>
    </xf>
    <xf numFmtId="0" fontId="64" fillId="2" borderId="1" xfId="0" applyFont="1" applyFill="1" applyBorder="1" applyAlignment="1">
      <alignment horizontal="center"/>
    </xf>
    <xf numFmtId="0" fontId="64" fillId="2" borderId="2" xfId="0" applyFont="1" applyFill="1" applyBorder="1" applyAlignment="1">
      <alignment horizontal="center"/>
    </xf>
    <xf numFmtId="0" fontId="64" fillId="2" borderId="3" xfId="0" applyFont="1" applyFill="1" applyBorder="1" applyAlignment="1">
      <alignment horizontal="center"/>
    </xf>
    <xf numFmtId="0" fontId="35" fillId="0" borderId="12" xfId="0" applyFont="1" applyBorder="1" applyAlignment="1">
      <alignment horizontal="left"/>
    </xf>
    <xf numFmtId="0" fontId="4" fillId="9" borderId="0" xfId="0" applyFont="1" applyFill="1" applyAlignment="1">
      <alignment horizontal="center" wrapText="1"/>
    </xf>
    <xf numFmtId="0" fontId="4" fillId="8" borderId="0" xfId="0" applyFont="1" applyFill="1" applyAlignment="1">
      <alignment horizontal="center" wrapText="1"/>
    </xf>
    <xf numFmtId="0" fontId="4" fillId="8" borderId="0" xfId="0" applyFont="1" applyFill="1" applyAlignment="1">
      <alignment horizontal="center" vertical="center" textRotation="90"/>
    </xf>
    <xf numFmtId="0" fontId="4" fillId="9" borderId="0" xfId="0" applyFont="1" applyFill="1" applyAlignment="1">
      <alignment horizontal="center" vertical="center" textRotation="90"/>
    </xf>
    <xf numFmtId="0" fontId="35" fillId="0" borderId="2" xfId="0" applyFont="1" applyBorder="1" applyAlignment="1">
      <alignment horizontal="left"/>
    </xf>
    <xf numFmtId="0" fontId="22" fillId="6" borderId="0" xfId="0" applyFont="1" applyFill="1" applyAlignment="1">
      <alignment vertical="top"/>
    </xf>
    <xf numFmtId="8" fontId="22" fillId="6" borderId="0" xfId="0" applyNumberFormat="1" applyFont="1" applyFill="1" applyAlignment="1">
      <alignment horizontal="right" vertical="top"/>
    </xf>
    <xf numFmtId="0" fontId="25" fillId="7" borderId="0" xfId="0" applyFont="1" applyFill="1" applyAlignment="1">
      <alignment vertical="top"/>
    </xf>
    <xf numFmtId="0" fontId="22" fillId="0" borderId="0" xfId="0" applyFont="1" applyAlignment="1">
      <alignment vertical="top"/>
    </xf>
    <xf numFmtId="0" fontId="24" fillId="0" borderId="0" xfId="0" applyFont="1" applyAlignment="1">
      <alignment horizontal="center" vertical="center"/>
    </xf>
    <xf numFmtId="0" fontId="22" fillId="6" borderId="0" xfId="0" applyFont="1" applyFill="1" applyAlignment="1">
      <alignment horizontal="right" vertical="top"/>
    </xf>
    <xf numFmtId="0" fontId="23" fillId="0" borderId="0" xfId="0" applyFont="1" applyAlignment="1">
      <alignment vertical="top"/>
    </xf>
    <xf numFmtId="0" fontId="14" fillId="6" borderId="0" xfId="0" applyFont="1" applyFill="1" applyAlignment="1">
      <alignment vertical="top"/>
    </xf>
    <xf numFmtId="8" fontId="14" fillId="6" borderId="0" xfId="0" applyNumberFormat="1" applyFont="1" applyFill="1" applyAlignment="1">
      <alignment horizontal="right" vertical="top"/>
    </xf>
    <xf numFmtId="0" fontId="17" fillId="7" borderId="0" xfId="0" applyFont="1" applyFill="1" applyAlignment="1">
      <alignment vertical="top"/>
    </xf>
    <xf numFmtId="0" fontId="14" fillId="4" borderId="0" xfId="0" applyFont="1" applyFill="1" applyAlignment="1">
      <alignment vertical="top"/>
    </xf>
    <xf numFmtId="0" fontId="16" fillId="4" borderId="0" xfId="0" applyFont="1" applyFill="1" applyAlignment="1">
      <alignment horizontal="center" vertical="center"/>
    </xf>
    <xf numFmtId="0" fontId="14" fillId="6" borderId="0" xfId="0" applyFont="1" applyFill="1" applyAlignment="1">
      <alignment horizontal="right" vertical="top"/>
    </xf>
    <xf numFmtId="0" fontId="15" fillId="4" borderId="0" xfId="0" applyFont="1" applyFill="1" applyAlignment="1">
      <alignment vertical="top"/>
    </xf>
    <xf numFmtId="0" fontId="30" fillId="15" borderId="4" xfId="0" applyFont="1" applyFill="1" applyBorder="1" applyAlignment="1" applyProtection="1">
      <alignment horizontal="center"/>
      <protection locked="0"/>
    </xf>
    <xf numFmtId="0" fontId="30" fillId="15" borderId="4" xfId="6" applyFont="1" applyFill="1" applyBorder="1" applyAlignment="1" applyProtection="1">
      <alignment horizontal="center"/>
      <protection locked="0"/>
    </xf>
    <xf numFmtId="0" fontId="30" fillId="17" borderId="4" xfId="0" applyFont="1" applyFill="1" applyBorder="1" applyAlignment="1" applyProtection="1">
      <alignment horizontal="center"/>
      <protection locked="0"/>
    </xf>
    <xf numFmtId="0" fontId="30" fillId="17" borderId="4" xfId="0" applyFont="1" applyFill="1" applyBorder="1" applyAlignment="1" applyProtection="1">
      <alignment horizontal="left"/>
      <protection locked="0"/>
    </xf>
    <xf numFmtId="49" fontId="30" fillId="17" borderId="4" xfId="0" applyNumberFormat="1" applyFont="1" applyFill="1" applyBorder="1" applyAlignment="1" applyProtection="1">
      <alignment horizontal="center"/>
      <protection locked="0"/>
    </xf>
    <xf numFmtId="49" fontId="30" fillId="17" borderId="1" xfId="0" applyNumberFormat="1" applyFont="1" applyFill="1" applyBorder="1" applyAlignment="1" applyProtection="1">
      <alignment horizontal="left"/>
      <protection locked="0"/>
    </xf>
    <xf numFmtId="49" fontId="30" fillId="17" borderId="3" xfId="0" applyNumberFormat="1" applyFont="1" applyFill="1" applyBorder="1" applyAlignment="1" applyProtection="1">
      <alignment horizontal="left"/>
      <protection locked="0"/>
    </xf>
    <xf numFmtId="0" fontId="64" fillId="15" borderId="4" xfId="0" applyFont="1" applyFill="1" applyBorder="1" applyAlignment="1" applyProtection="1">
      <alignment horizontal="center"/>
      <protection locked="0"/>
    </xf>
    <xf numFmtId="0" fontId="30" fillId="17" borderId="2" xfId="0" applyFont="1" applyFill="1" applyBorder="1" applyProtection="1">
      <protection locked="0"/>
    </xf>
    <xf numFmtId="0" fontId="30" fillId="17" borderId="1" xfId="0" applyFont="1" applyFill="1" applyBorder="1" applyProtection="1">
      <protection locked="0"/>
    </xf>
    <xf numFmtId="0" fontId="30" fillId="17" borderId="3" xfId="0" applyFont="1" applyFill="1" applyBorder="1" applyProtection="1">
      <protection locked="0"/>
    </xf>
    <xf numFmtId="0" fontId="30" fillId="17" borderId="0" xfId="0" applyFont="1" applyFill="1" applyProtection="1">
      <protection locked="0"/>
    </xf>
    <xf numFmtId="49" fontId="3" fillId="15" borderId="6" xfId="0" applyNumberFormat="1" applyFont="1" applyFill="1" applyBorder="1" applyAlignment="1" applyProtection="1">
      <alignment horizontal="center" vertical="center"/>
      <protection locked="0"/>
    </xf>
    <xf numFmtId="0" fontId="29" fillId="15" borderId="1" xfId="0" applyFont="1" applyFill="1" applyBorder="1" applyProtection="1">
      <protection locked="0"/>
    </xf>
    <xf numFmtId="165" fontId="29" fillId="15" borderId="1" xfId="0" applyNumberFormat="1" applyFont="1" applyFill="1" applyBorder="1" applyAlignment="1" applyProtection="1">
      <alignment horizontal="center"/>
      <protection locked="0"/>
    </xf>
    <xf numFmtId="0" fontId="29" fillId="15" borderId="9" xfId="0" applyFont="1" applyFill="1" applyBorder="1" applyProtection="1">
      <protection locked="0"/>
    </xf>
    <xf numFmtId="165" fontId="31" fillId="0" borderId="2" xfId="0" applyNumberFormat="1" applyFont="1" applyBorder="1" applyAlignment="1" applyProtection="1">
      <alignment horizontal="center"/>
    </xf>
  </cellXfs>
  <cellStyles count="8">
    <cellStyle name="Enllaç" xfId="5" builtinId="8"/>
    <cellStyle name="Enllaç 2" xfId="4" xr:uid="{58BB9DE2-16E2-46D0-837C-FA3975E51399}"/>
    <cellStyle name="Moneda" xfId="1" builtinId="4"/>
    <cellStyle name="Normal" xfId="0" builtinId="0"/>
    <cellStyle name="Normal 2" xfId="3" xr:uid="{7ABEB37B-B146-4BE0-AEF6-D9C1BC46CFEE}"/>
    <cellStyle name="Normal 3" xfId="6" xr:uid="{E45E4F11-ADED-48D1-893D-D16C774F6F29}"/>
    <cellStyle name="Normal 3 2" xfId="7" xr:uid="{54DEEF20-E52D-4338-83FE-EDA833F671FF}"/>
    <cellStyle name="Percentatge" xfId="2" builtinId="5"/>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a:t>CONSUM D'ENERGIA PEL SERVEI D'ACS (kWh)</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manualLayout>
          <c:layoutTarget val="inner"/>
          <c:xMode val="edge"/>
          <c:yMode val="edge"/>
          <c:x val="0.18149297489037106"/>
          <c:y val="0.19602878810724642"/>
          <c:w val="0.64078520673374983"/>
          <c:h val="0.65835515112239729"/>
        </c:manualLayout>
      </c:layout>
      <c:pieChart>
        <c:varyColors val="1"/>
        <c:ser>
          <c:idx val="0"/>
          <c:order val="0"/>
          <c:tx>
            <c:strRef>
              <c:f>RESULTATS!$B$5</c:f>
              <c:strCache>
                <c:ptCount val="1"/>
                <c:pt idx="0">
                  <c:v>ESTIMACIÓ DE CONSUM ENERGÈTIC DEL SISTEMA ACTUAL</c:v>
                </c:pt>
              </c:strCache>
            </c:strRef>
          </c:tx>
          <c:spPr>
            <a:solidFill>
              <a:schemeClr val="accent1"/>
            </a:solidFill>
          </c:spPr>
          <c:explosion val="1"/>
          <c:dPt>
            <c:idx val="0"/>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5-AC2B-45E1-9F07-B221524742DD}"/>
              </c:ext>
            </c:extLst>
          </c:dPt>
          <c:dPt>
            <c:idx val="1"/>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003-AC2B-45E1-9F07-B221524742DD}"/>
              </c:ext>
            </c:extLst>
          </c:dPt>
          <c:dPt>
            <c:idx val="2"/>
            <c:bubble3D val="0"/>
            <c:spPr>
              <a:solidFill>
                <a:schemeClr val="accent4">
                  <a:lumMod val="20000"/>
                  <a:lumOff val="80000"/>
                </a:schemeClr>
              </a:solidFill>
              <a:ln w="19050">
                <a:solidFill>
                  <a:schemeClr val="lt1"/>
                </a:solidFill>
              </a:ln>
              <a:effectLst/>
            </c:spPr>
            <c:extLst>
              <c:ext xmlns:c16="http://schemas.microsoft.com/office/drawing/2014/chart" uri="{C3380CC4-5D6E-409C-BE32-E72D297353CC}">
                <c16:uniqueId val="{00000004-AC2B-45E1-9F07-B221524742DD}"/>
              </c:ext>
            </c:extLst>
          </c:dPt>
          <c:dLbls>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ca-ES"/>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C2B-45E1-9F07-B22152474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bestFit"/>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RESULTATS!$B$9:$B$11</c:f>
              <c:strCache>
                <c:ptCount val="3"/>
                <c:pt idx="0">
                  <c:v>Demanda ACS</c:v>
                </c:pt>
                <c:pt idx="1">
                  <c:v>Pèrdues dipòsit</c:v>
                </c:pt>
                <c:pt idx="2">
                  <c:v>Pèrdues recirculació</c:v>
                </c:pt>
              </c:strCache>
            </c:strRef>
          </c:cat>
          <c:val>
            <c:numRef>
              <c:f>RESULTATS!$D$9:$D$11</c:f>
              <c:numCache>
                <c:formatCode>#,##0</c:formatCode>
                <c:ptCount val="3"/>
                <c:pt idx="0">
                  <c:v>0</c:v>
                </c:pt>
                <c:pt idx="1">
                  <c:v>0</c:v>
                </c:pt>
                <c:pt idx="2">
                  <c:v>0</c:v>
                </c:pt>
              </c:numCache>
            </c:numRef>
          </c:val>
          <c:extLst>
            <c:ext xmlns:c16="http://schemas.microsoft.com/office/drawing/2014/chart" uri="{C3380CC4-5D6E-409C-BE32-E72D297353CC}">
              <c16:uniqueId val="{00000000-AC2B-45E1-9F07-B221524742DD}"/>
            </c:ext>
          </c:extLst>
        </c:ser>
        <c:dLbls>
          <c:dLblPos val="ctr"/>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ca-ES" sz="1100"/>
              <a:t>Estalvi energètic de les actuacions (kWh)</a:t>
            </a:r>
          </a:p>
        </c:rich>
      </c:tx>
      <c:layout>
        <c:manualLayout>
          <c:xMode val="edge"/>
          <c:yMode val="edge"/>
          <c:x val="0.1968420077923306"/>
          <c:y val="1.7066789180187839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manualLayout>
          <c:layoutTarget val="inner"/>
          <c:xMode val="edge"/>
          <c:yMode val="edge"/>
          <c:x val="0.12296429429980657"/>
          <c:y val="8.459605385978701E-2"/>
          <c:w val="0.82915977598356616"/>
          <c:h val="0.64544852974099454"/>
        </c:manualLayout>
      </c:layout>
      <c:barChart>
        <c:barDir val="col"/>
        <c:grouping val="clustered"/>
        <c:varyColors val="0"/>
        <c:ser>
          <c:idx val="0"/>
          <c:order val="0"/>
          <c:spPr>
            <a:solidFill>
              <a:schemeClr val="accent4">
                <a:lumMod val="75000"/>
              </a:schemeClr>
            </a:solidFill>
            <a:ln>
              <a:solidFill>
                <a:schemeClr val="accent4">
                  <a:lumMod val="75000"/>
                </a:schemeClr>
              </a:solidFill>
            </a:ln>
            <a:effectLst/>
          </c:spPr>
          <c:invertIfNegative val="0"/>
          <c:cat>
            <c:strRef>
              <c:f>RESULTATS!$C$30:$C$35</c:f>
              <c:strCache>
                <c:ptCount val="6"/>
                <c:pt idx="0">
                  <c:v>Aturada sistema en vacances</c:v>
                </c:pt>
                <c:pt idx="1">
                  <c:v>Reducció demanda ACS</c:v>
                </c:pt>
                <c:pt idx="2">
                  <c:v>Reducció consigna dipòsit</c:v>
                </c:pt>
                <c:pt idx="3">
                  <c:v>Reducció temperatura recirculació</c:v>
                </c:pt>
                <c:pt idx="4">
                  <c:v>Millora aïllament canonades</c:v>
                </c:pt>
                <c:pt idx="5">
                  <c:v>Millora aïllament dipòsits</c:v>
                </c:pt>
              </c:strCache>
            </c:strRef>
          </c:cat>
          <c:val>
            <c:numRef>
              <c:f>RESULTATS!$F$30:$F$35</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1A0-4938-AD03-C327BBD89664}"/>
            </c:ext>
          </c:extLst>
        </c:ser>
        <c:dLbls>
          <c:showLegendKey val="0"/>
          <c:showVal val="0"/>
          <c:showCatName val="0"/>
          <c:showSerName val="0"/>
          <c:showPercent val="0"/>
          <c:showBubbleSize val="0"/>
        </c:dLbls>
        <c:gapWidth val="219"/>
        <c:overlap val="-27"/>
        <c:axId val="714482752"/>
        <c:axId val="714483112"/>
      </c:barChart>
      <c:catAx>
        <c:axId val="714482752"/>
        <c:scaling>
          <c:orientation val="minMax"/>
        </c:scaling>
        <c:delete val="0"/>
        <c:axPos val="b"/>
        <c:numFmt formatCode="@"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900" b="0" i="0" u="none" strike="noStrike" kern="1200" baseline="0">
                <a:ln>
                  <a:noFill/>
                </a:ln>
                <a:solidFill>
                  <a:schemeClr val="tx1">
                    <a:lumMod val="65000"/>
                    <a:lumOff val="35000"/>
                  </a:schemeClr>
                </a:solidFill>
                <a:latin typeface="+mn-lt"/>
                <a:ea typeface="+mn-ea"/>
                <a:cs typeface="+mn-cs"/>
              </a:defRPr>
            </a:pPr>
            <a:endParaRPr lang="ca-ES"/>
          </a:p>
        </c:txPr>
        <c:crossAx val="714483112"/>
        <c:crosses val="autoZero"/>
        <c:auto val="1"/>
        <c:lblAlgn val="ctr"/>
        <c:lblOffset val="100"/>
        <c:noMultiLvlLbl val="0"/>
      </c:catAx>
      <c:valAx>
        <c:axId val="714483112"/>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7144827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ca-ES" sz="1100"/>
              <a:t>Combustible i electricitat</a:t>
            </a:r>
            <a:r>
              <a:rPr lang="ca-ES" sz="1100" baseline="0"/>
              <a:t> consumida </a:t>
            </a:r>
            <a:endParaRPr lang="ca-ES" sz="1100"/>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barChart>
        <c:barDir val="col"/>
        <c:grouping val="clustered"/>
        <c:varyColors val="0"/>
        <c:ser>
          <c:idx val="0"/>
          <c:order val="0"/>
          <c:tx>
            <c:strRef>
              <c:f>CALCULS_ACTUAL!$J$5</c:f>
              <c:strCache>
                <c:ptCount val="1"/>
                <c:pt idx="0">
                  <c:v>CONSUM TÈRMIC</c:v>
                </c:pt>
              </c:strCache>
            </c:strRef>
          </c:tx>
          <c:spPr>
            <a:solidFill>
              <a:schemeClr val="accent2"/>
            </a:solidFill>
            <a:ln>
              <a:noFill/>
            </a:ln>
            <a:effectLst/>
          </c:spPr>
          <c:invertIfNegative val="0"/>
          <c:cat>
            <c:strRef>
              <c:f>RESULTATS!$B$9:$B$11</c:f>
              <c:strCache>
                <c:ptCount val="3"/>
                <c:pt idx="0">
                  <c:v>Demanda ACS</c:v>
                </c:pt>
                <c:pt idx="1">
                  <c:v>Pèrdues dipòsit</c:v>
                </c:pt>
                <c:pt idx="2">
                  <c:v>Pèrdues recirculació</c:v>
                </c:pt>
              </c:strCache>
            </c:strRef>
          </c:cat>
          <c:val>
            <c:numRef>
              <c:f>CALCULS_ACTUAL!$J$7:$J$9</c:f>
              <c:numCache>
                <c:formatCode>#,##0</c:formatCode>
                <c:ptCount val="3"/>
                <c:pt idx="0">
                  <c:v>0</c:v>
                </c:pt>
                <c:pt idx="1">
                  <c:v>0</c:v>
                </c:pt>
                <c:pt idx="2">
                  <c:v>0</c:v>
                </c:pt>
              </c:numCache>
            </c:numRef>
          </c:val>
          <c:extLst>
            <c:ext xmlns:c16="http://schemas.microsoft.com/office/drawing/2014/chart" uri="{C3380CC4-5D6E-409C-BE32-E72D297353CC}">
              <c16:uniqueId val="{00000000-E5E4-4EDF-873D-85E05B4DFA60}"/>
            </c:ext>
          </c:extLst>
        </c:ser>
        <c:ser>
          <c:idx val="1"/>
          <c:order val="1"/>
          <c:tx>
            <c:strRef>
              <c:f>CALCULS_ACTUAL!$M$5</c:f>
              <c:strCache>
                <c:ptCount val="1"/>
                <c:pt idx="0">
                  <c:v>CONSUM ELÈCTRIC SIST AUX</c:v>
                </c:pt>
              </c:strCache>
            </c:strRef>
          </c:tx>
          <c:spPr>
            <a:solidFill>
              <a:schemeClr val="accent1"/>
            </a:solidFill>
            <a:ln>
              <a:noFill/>
            </a:ln>
            <a:effectLst/>
          </c:spPr>
          <c:invertIfNegative val="0"/>
          <c:val>
            <c:numRef>
              <c:f>CALCULS_ACTUAL!$M$7:$M$9</c:f>
              <c:numCache>
                <c:formatCode>#,##0</c:formatCode>
                <c:ptCount val="3"/>
                <c:pt idx="0">
                  <c:v>0</c:v>
                </c:pt>
                <c:pt idx="1">
                  <c:v>0</c:v>
                </c:pt>
                <c:pt idx="2">
                  <c:v>0</c:v>
                </c:pt>
              </c:numCache>
            </c:numRef>
          </c:val>
          <c:extLst>
            <c:ext xmlns:c16="http://schemas.microsoft.com/office/drawing/2014/chart" uri="{C3380CC4-5D6E-409C-BE32-E72D297353CC}">
              <c16:uniqueId val="{00000001-E5E4-4EDF-873D-85E05B4DFA60}"/>
            </c:ext>
          </c:extLst>
        </c:ser>
        <c:dLbls>
          <c:showLegendKey val="0"/>
          <c:showVal val="0"/>
          <c:showCatName val="0"/>
          <c:showSerName val="0"/>
          <c:showPercent val="0"/>
          <c:showBubbleSize val="0"/>
        </c:dLbls>
        <c:gapWidth val="219"/>
        <c:overlap val="-27"/>
        <c:axId val="821319512"/>
        <c:axId val="821320232"/>
      </c:barChart>
      <c:catAx>
        <c:axId val="821319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821320232"/>
        <c:crosses val="autoZero"/>
        <c:auto val="1"/>
        <c:lblAlgn val="ctr"/>
        <c:lblOffset val="100"/>
        <c:noMultiLvlLbl val="0"/>
      </c:catAx>
      <c:valAx>
        <c:axId val="8213202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8213195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ca-ES" sz="1100"/>
              <a:t>Comparativa energètica anual</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manualLayout>
          <c:layoutTarget val="inner"/>
          <c:xMode val="edge"/>
          <c:yMode val="edge"/>
          <c:x val="8.6593625965404916E-2"/>
          <c:y val="0.10896262337290102"/>
          <c:w val="0.85034878974682226"/>
          <c:h val="0.71838648127940508"/>
        </c:manualLayout>
      </c:layout>
      <c:barChart>
        <c:barDir val="col"/>
        <c:grouping val="clustered"/>
        <c:varyColors val="0"/>
        <c:ser>
          <c:idx val="0"/>
          <c:order val="0"/>
          <c:tx>
            <c:v>Energia final (kWh/any)</c:v>
          </c:tx>
          <c:spPr>
            <a:solidFill>
              <a:schemeClr val="accent4">
                <a:lumMod val="75000"/>
              </a:schemeClr>
            </a:solidFill>
            <a:ln>
              <a:solidFill>
                <a:schemeClr val="accent4">
                  <a:lumMod val="75000"/>
                </a:schemeClr>
              </a:solidFill>
            </a:ln>
            <a:effectLst/>
          </c:spPr>
          <c:invertIfNegative val="0"/>
          <c:cat>
            <c:strRef>
              <c:f>RESULTATS!$E$53:$I$53</c:f>
              <c:strCache>
                <c:ptCount val="5"/>
                <c:pt idx="0">
                  <c:v>0</c:v>
                </c:pt>
                <c:pt idx="1">
                  <c:v>0 Millorat</c:v>
                </c:pt>
                <c:pt idx="2">
                  <c:v>0</c:v>
                </c:pt>
                <c:pt idx="3">
                  <c:v>0</c:v>
                </c:pt>
                <c:pt idx="4">
                  <c:v>0</c:v>
                </c:pt>
              </c:strCache>
            </c:strRef>
          </c:cat>
          <c:val>
            <c:numRef>
              <c:f>RESULTATS!$E$54:$I$54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7C22-436E-A03D-A21682414E6C}"/>
            </c:ext>
          </c:extLst>
        </c:ser>
        <c:dLbls>
          <c:showLegendKey val="0"/>
          <c:showVal val="0"/>
          <c:showCatName val="0"/>
          <c:showSerName val="0"/>
          <c:showPercent val="0"/>
          <c:showBubbleSize val="0"/>
        </c:dLbls>
        <c:gapWidth val="219"/>
        <c:axId val="1045994008"/>
        <c:axId val="1045987168"/>
      </c:barChart>
      <c:lineChart>
        <c:grouping val="standard"/>
        <c:varyColors val="0"/>
        <c:ser>
          <c:idx val="1"/>
          <c:order val="1"/>
          <c:tx>
            <c:v>Cost energia (€/any)</c:v>
          </c:tx>
          <c:spPr>
            <a:ln w="28575" cap="rnd">
              <a:solidFill>
                <a:schemeClr val="accent5">
                  <a:lumMod val="75000"/>
                </a:schemeClr>
              </a:solidFill>
              <a:round/>
            </a:ln>
            <a:effectLst/>
          </c:spPr>
          <c:marker>
            <c:symbol val="circle"/>
            <c:size val="5"/>
            <c:spPr>
              <a:solidFill>
                <a:schemeClr val="accent5">
                  <a:lumMod val="60000"/>
                  <a:lumOff val="40000"/>
                </a:schemeClr>
              </a:solidFill>
              <a:ln w="9525">
                <a:solidFill>
                  <a:schemeClr val="accent5">
                    <a:lumMod val="75000"/>
                  </a:schemeClr>
                </a:solidFill>
              </a:ln>
              <a:effectLst/>
            </c:spPr>
          </c:marker>
          <c:val>
            <c:numRef>
              <c:f>RESULTATS!$E$56:$I$56</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7C22-436E-A03D-A21682414E6C}"/>
            </c:ext>
          </c:extLst>
        </c:ser>
        <c:ser>
          <c:idx val="2"/>
          <c:order val="2"/>
          <c:tx>
            <c:v>Emissions (kgCO2eq/any)</c:v>
          </c:tx>
          <c:spPr>
            <a:ln w="28575" cap="rnd">
              <a:solidFill>
                <a:schemeClr val="bg1">
                  <a:lumMod val="65000"/>
                </a:schemeClr>
              </a:solidFill>
              <a:round/>
            </a:ln>
            <a:effectLst/>
          </c:spPr>
          <c:marker>
            <c:symbol val="circle"/>
            <c:size val="5"/>
            <c:spPr>
              <a:solidFill>
                <a:schemeClr val="bg1">
                  <a:lumMod val="65000"/>
                </a:schemeClr>
              </a:solidFill>
              <a:ln w="9525">
                <a:solidFill>
                  <a:schemeClr val="bg1">
                    <a:lumMod val="65000"/>
                  </a:schemeClr>
                </a:solidFill>
              </a:ln>
              <a:effectLst/>
            </c:spPr>
          </c:marker>
          <c:val>
            <c:numRef>
              <c:f>RESULTATS!$E$58:$I$58</c:f>
              <c:numCache>
                <c:formatCode>#,##0</c:formatCode>
                <c:ptCount val="5"/>
                <c:pt idx="0">
                  <c:v>0</c:v>
                </c:pt>
                <c:pt idx="1">
                  <c:v>0</c:v>
                </c:pt>
                <c:pt idx="2">
                  <c:v>#N/A</c:v>
                </c:pt>
                <c:pt idx="3">
                  <c:v>#N/A</c:v>
                </c:pt>
                <c:pt idx="4">
                  <c:v>#N/A</c:v>
                </c:pt>
              </c:numCache>
            </c:numRef>
          </c:val>
          <c:smooth val="0"/>
          <c:extLst>
            <c:ext xmlns:c16="http://schemas.microsoft.com/office/drawing/2014/chart" uri="{C3380CC4-5D6E-409C-BE32-E72D297353CC}">
              <c16:uniqueId val="{00000003-7C22-436E-A03D-A21682414E6C}"/>
            </c:ext>
          </c:extLst>
        </c:ser>
        <c:dLbls>
          <c:showLegendKey val="0"/>
          <c:showVal val="0"/>
          <c:showCatName val="0"/>
          <c:showSerName val="0"/>
          <c:showPercent val="0"/>
          <c:showBubbleSize val="0"/>
        </c:dLbls>
        <c:marker val="1"/>
        <c:smooth val="0"/>
        <c:axId val="835429104"/>
        <c:axId val="835437024"/>
      </c:lineChart>
      <c:catAx>
        <c:axId val="1045994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1045987168"/>
        <c:crosses val="autoZero"/>
        <c:auto val="0"/>
        <c:lblAlgn val="ctr"/>
        <c:lblOffset val="100"/>
        <c:noMultiLvlLbl val="0"/>
      </c:catAx>
      <c:valAx>
        <c:axId val="104598716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ca-ES"/>
                  <a:t>kWh</a:t>
                </a:r>
              </a:p>
            </c:rich>
          </c:tx>
          <c:layout>
            <c:manualLayout>
              <c:xMode val="edge"/>
              <c:yMode val="edge"/>
              <c:x val="9.5454479867429273E-3"/>
              <c:y val="4.037514068142388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ca-E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1045994008"/>
        <c:crosses val="autoZero"/>
        <c:crossBetween val="between"/>
      </c:valAx>
      <c:valAx>
        <c:axId val="835437024"/>
        <c:scaling>
          <c:orientation val="minMax"/>
        </c:scaling>
        <c:delete val="0"/>
        <c:axPos val="r"/>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ca-ES"/>
                  <a:t>€</a:t>
                </a:r>
                <a:r>
                  <a:rPr lang="ca-ES" baseline="0"/>
                  <a:t> o </a:t>
                </a:r>
                <a:r>
                  <a:rPr lang="ca-ES"/>
                  <a:t>kgCO2</a:t>
                </a:r>
              </a:p>
            </c:rich>
          </c:tx>
          <c:layout>
            <c:manualLayout>
              <c:xMode val="edge"/>
              <c:yMode val="edge"/>
              <c:x val="0.86562473292169506"/>
              <c:y val="3.4151409161986251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835429104"/>
        <c:crosses val="max"/>
        <c:crossBetween val="between"/>
      </c:valAx>
      <c:catAx>
        <c:axId val="835429104"/>
        <c:scaling>
          <c:orientation val="minMax"/>
        </c:scaling>
        <c:delete val="1"/>
        <c:axPos val="b"/>
        <c:majorTickMark val="out"/>
        <c:minorTickMark val="none"/>
        <c:tickLblPos val="nextTo"/>
        <c:crossAx val="835437024"/>
        <c:crosses val="autoZero"/>
        <c:auto val="1"/>
        <c:lblAlgn val="ctr"/>
        <c:lblOffset val="100"/>
        <c:noMultiLvlLbl val="0"/>
      </c:catAx>
      <c:spPr>
        <a:noFill/>
        <a:ln>
          <a:noFill/>
        </a:ln>
        <a:effectLst/>
      </c:spPr>
    </c:plotArea>
    <c:legend>
      <c:legendPos val="b"/>
      <c:layout>
        <c:manualLayout>
          <c:xMode val="edge"/>
          <c:yMode val="edge"/>
          <c:x val="3.3816414396755437E-2"/>
          <c:y val="0.94495131644324026"/>
          <c:w val="0.93099595650383538"/>
          <c:h val="5.196905727304669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ca-ES" sz="1100"/>
              <a:t>Distribució energia final</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manualLayout>
          <c:layoutTarget val="inner"/>
          <c:xMode val="edge"/>
          <c:yMode val="edge"/>
          <c:x val="0.13404278483125989"/>
          <c:y val="0.11695696057221279"/>
          <c:w val="0.83139069994772563"/>
          <c:h val="0.70067331321360193"/>
        </c:manualLayout>
      </c:layout>
      <c:barChart>
        <c:barDir val="col"/>
        <c:grouping val="stacked"/>
        <c:varyColors val="0"/>
        <c:ser>
          <c:idx val="0"/>
          <c:order val="0"/>
          <c:tx>
            <c:strRef>
              <c:f>RESULTATS!$L$55</c:f>
              <c:strCache>
                <c:ptCount val="1"/>
                <c:pt idx="0">
                  <c:v>Demanda ACS</c:v>
                </c:pt>
              </c:strCache>
            </c:strRef>
          </c:tx>
          <c:spPr>
            <a:solidFill>
              <a:schemeClr val="accent4">
                <a:lumMod val="75000"/>
              </a:schemeClr>
            </a:solidFill>
            <a:ln>
              <a:solidFill>
                <a:schemeClr val="accent4">
                  <a:lumMod val="75000"/>
                </a:schemeClr>
              </a:solidFill>
            </a:ln>
            <a:effectLst/>
          </c:spPr>
          <c:invertIfNegative val="0"/>
          <c:cat>
            <c:strRef>
              <c:f>RESULTATS!$N$53:$Q$54</c:f>
              <c:strCache>
                <c:ptCount val="4"/>
                <c:pt idx="0">
                  <c:v>0</c:v>
                </c:pt>
                <c:pt idx="1">
                  <c:v>0</c:v>
                </c:pt>
                <c:pt idx="2">
                  <c:v>0</c:v>
                </c:pt>
                <c:pt idx="3">
                  <c:v>0</c:v>
                </c:pt>
              </c:strCache>
            </c:strRef>
          </c:cat>
          <c:val>
            <c:numRef>
              <c:f>RESULTATS!$N$55:$Q$55</c:f>
              <c:numCache>
                <c:formatCode>#,##0</c:formatCode>
                <c:ptCount val="4"/>
                <c:pt idx="0">
                  <c:v>0</c:v>
                </c:pt>
                <c:pt idx="1">
                  <c:v>0</c:v>
                </c:pt>
                <c:pt idx="2">
                  <c:v>0</c:v>
                </c:pt>
                <c:pt idx="3">
                  <c:v>0</c:v>
                </c:pt>
              </c:numCache>
            </c:numRef>
          </c:val>
          <c:extLst>
            <c:ext xmlns:c16="http://schemas.microsoft.com/office/drawing/2014/chart" uri="{C3380CC4-5D6E-409C-BE32-E72D297353CC}">
              <c16:uniqueId val="{00000000-394B-4650-BF79-5B910844FA74}"/>
            </c:ext>
          </c:extLst>
        </c:ser>
        <c:ser>
          <c:idx val="1"/>
          <c:order val="1"/>
          <c:tx>
            <c:strRef>
              <c:f>RESULTATS!$L$56</c:f>
              <c:strCache>
                <c:ptCount val="1"/>
                <c:pt idx="0">
                  <c:v>Pèrdues dipòsit</c:v>
                </c:pt>
              </c:strCache>
            </c:strRef>
          </c:tx>
          <c:spPr>
            <a:solidFill>
              <a:schemeClr val="accent4">
                <a:lumMod val="60000"/>
                <a:lumOff val="40000"/>
              </a:schemeClr>
            </a:solidFill>
            <a:ln>
              <a:solidFill>
                <a:schemeClr val="accent4">
                  <a:lumMod val="75000"/>
                </a:schemeClr>
              </a:solidFill>
            </a:ln>
            <a:effectLst/>
          </c:spPr>
          <c:invertIfNegative val="0"/>
          <c:cat>
            <c:strRef>
              <c:f>RESULTATS!$N$53:$Q$54</c:f>
              <c:strCache>
                <c:ptCount val="4"/>
                <c:pt idx="0">
                  <c:v>0</c:v>
                </c:pt>
                <c:pt idx="1">
                  <c:v>0</c:v>
                </c:pt>
                <c:pt idx="2">
                  <c:v>0</c:v>
                </c:pt>
                <c:pt idx="3">
                  <c:v>0</c:v>
                </c:pt>
              </c:strCache>
            </c:strRef>
          </c:cat>
          <c:val>
            <c:numRef>
              <c:f>RESULTATS!$N$56:$Q$56</c:f>
              <c:numCache>
                <c:formatCode>#,##0</c:formatCode>
                <c:ptCount val="4"/>
                <c:pt idx="0">
                  <c:v>0</c:v>
                </c:pt>
                <c:pt idx="1">
                  <c:v>0</c:v>
                </c:pt>
                <c:pt idx="2">
                  <c:v>0</c:v>
                </c:pt>
                <c:pt idx="3">
                  <c:v>0</c:v>
                </c:pt>
              </c:numCache>
            </c:numRef>
          </c:val>
          <c:extLst>
            <c:ext xmlns:c16="http://schemas.microsoft.com/office/drawing/2014/chart" uri="{C3380CC4-5D6E-409C-BE32-E72D297353CC}">
              <c16:uniqueId val="{00000001-394B-4650-BF79-5B910844FA74}"/>
            </c:ext>
          </c:extLst>
        </c:ser>
        <c:ser>
          <c:idx val="2"/>
          <c:order val="2"/>
          <c:tx>
            <c:strRef>
              <c:f>RESULTATS!$L$57</c:f>
              <c:strCache>
                <c:ptCount val="1"/>
                <c:pt idx="0">
                  <c:v>Pèrdues recirculació</c:v>
                </c:pt>
              </c:strCache>
            </c:strRef>
          </c:tx>
          <c:spPr>
            <a:solidFill>
              <a:schemeClr val="accent4">
                <a:lumMod val="20000"/>
                <a:lumOff val="80000"/>
              </a:schemeClr>
            </a:solidFill>
            <a:ln>
              <a:solidFill>
                <a:schemeClr val="accent4">
                  <a:lumMod val="75000"/>
                </a:schemeClr>
              </a:solidFill>
            </a:ln>
            <a:effectLst/>
          </c:spPr>
          <c:invertIfNegative val="0"/>
          <c:cat>
            <c:strRef>
              <c:f>RESULTATS!$N$53:$Q$54</c:f>
              <c:strCache>
                <c:ptCount val="4"/>
                <c:pt idx="0">
                  <c:v>0</c:v>
                </c:pt>
                <c:pt idx="1">
                  <c:v>0</c:v>
                </c:pt>
                <c:pt idx="2">
                  <c:v>0</c:v>
                </c:pt>
                <c:pt idx="3">
                  <c:v>0</c:v>
                </c:pt>
              </c:strCache>
            </c:strRef>
          </c:cat>
          <c:val>
            <c:numRef>
              <c:f>RESULTATS!$N$57:$Q$57</c:f>
              <c:numCache>
                <c:formatCode>#,##0</c:formatCode>
                <c:ptCount val="4"/>
                <c:pt idx="0">
                  <c:v>0</c:v>
                </c:pt>
                <c:pt idx="1">
                  <c:v>0</c:v>
                </c:pt>
                <c:pt idx="2">
                  <c:v>0</c:v>
                </c:pt>
                <c:pt idx="3">
                  <c:v>0</c:v>
                </c:pt>
              </c:numCache>
            </c:numRef>
          </c:val>
          <c:extLst>
            <c:ext xmlns:c16="http://schemas.microsoft.com/office/drawing/2014/chart" uri="{C3380CC4-5D6E-409C-BE32-E72D297353CC}">
              <c16:uniqueId val="{00000002-394B-4650-BF79-5B910844FA74}"/>
            </c:ext>
          </c:extLst>
        </c:ser>
        <c:dLbls>
          <c:showLegendKey val="0"/>
          <c:showVal val="0"/>
          <c:showCatName val="0"/>
          <c:showSerName val="0"/>
          <c:showPercent val="0"/>
          <c:showBubbleSize val="0"/>
        </c:dLbls>
        <c:gapWidth val="150"/>
        <c:overlap val="100"/>
        <c:axId val="835420464"/>
        <c:axId val="835416144"/>
      </c:barChart>
      <c:catAx>
        <c:axId val="835420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900" b="0" i="0" u="none" strike="noStrike" kern="1200" baseline="0">
                <a:solidFill>
                  <a:schemeClr val="tx1">
                    <a:lumMod val="65000"/>
                    <a:lumOff val="35000"/>
                  </a:schemeClr>
                </a:solidFill>
                <a:latin typeface="+mn-lt"/>
                <a:ea typeface="+mn-ea"/>
                <a:cs typeface="+mn-cs"/>
              </a:defRPr>
            </a:pPr>
            <a:endParaRPr lang="ca-ES"/>
          </a:p>
        </c:txPr>
        <c:crossAx val="835416144"/>
        <c:crosses val="autoZero"/>
        <c:auto val="1"/>
        <c:lblAlgn val="ctr"/>
        <c:lblOffset val="100"/>
        <c:noMultiLvlLbl val="0"/>
      </c:catAx>
      <c:valAx>
        <c:axId val="8354161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ca-ES"/>
                  <a:t>kWh</a:t>
                </a:r>
              </a:p>
            </c:rich>
          </c:tx>
          <c:layout>
            <c:manualLayout>
              <c:xMode val="edge"/>
              <c:yMode val="edge"/>
              <c:x val="2.0585475785185967E-2"/>
              <c:y val="5.8591995760825022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ca-E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835420464"/>
        <c:crosses val="autoZero"/>
        <c:crossBetween val="between"/>
      </c:valAx>
      <c:spPr>
        <a:noFill/>
        <a:ln>
          <a:noFill/>
        </a:ln>
        <a:effectLst/>
      </c:spPr>
    </c:plotArea>
    <c:legend>
      <c:legendPos val="b"/>
      <c:layout>
        <c:manualLayout>
          <c:xMode val="edge"/>
          <c:yMode val="edge"/>
          <c:x val="5.0752386517622129E-2"/>
          <c:y val="0.94751181090791536"/>
          <c:w val="0.914514877281702"/>
          <c:h val="5.24881890920846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ca-ES" sz="1100"/>
              <a:t>Costos anuals CAPEX+O&amp;M</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manualLayout>
          <c:layoutTarget val="inner"/>
          <c:xMode val="edge"/>
          <c:yMode val="edge"/>
          <c:x val="0.11145343015074047"/>
          <c:y val="0.10973659067592861"/>
          <c:w val="0.86440481273233372"/>
          <c:h val="0.70383556941203529"/>
        </c:manualLayout>
      </c:layout>
      <c:barChart>
        <c:barDir val="col"/>
        <c:grouping val="stacked"/>
        <c:varyColors val="0"/>
        <c:ser>
          <c:idx val="0"/>
          <c:order val="0"/>
          <c:tx>
            <c:strRef>
              <c:f>RESULTATS!$L$60</c:f>
              <c:strCache>
                <c:ptCount val="1"/>
                <c:pt idx="0">
                  <c:v>Energia</c:v>
                </c:pt>
              </c:strCache>
            </c:strRef>
          </c:tx>
          <c:spPr>
            <a:solidFill>
              <a:schemeClr val="accent5">
                <a:lumMod val="75000"/>
              </a:schemeClr>
            </a:solidFill>
            <a:ln>
              <a:solidFill>
                <a:schemeClr val="accent5">
                  <a:lumMod val="75000"/>
                </a:schemeClr>
              </a:solidFill>
            </a:ln>
            <a:effectLst/>
          </c:spPr>
          <c:invertIfNegative val="0"/>
          <c:cat>
            <c:numRef>
              <c:f>RESULTATS!$N$53:$Q$53</c:f>
              <c:numCache>
                <c:formatCode>General</c:formatCode>
                <c:ptCount val="4"/>
                <c:pt idx="0">
                  <c:v>0</c:v>
                </c:pt>
                <c:pt idx="1">
                  <c:v>0</c:v>
                </c:pt>
                <c:pt idx="2">
                  <c:v>0</c:v>
                </c:pt>
                <c:pt idx="3">
                  <c:v>0</c:v>
                </c:pt>
              </c:numCache>
            </c:numRef>
          </c:cat>
          <c:val>
            <c:numRef>
              <c:f>RESULTATS!$N$60:$Q$60</c:f>
              <c:numCache>
                <c:formatCode>#,##0</c:formatCode>
                <c:ptCount val="4"/>
                <c:pt idx="0">
                  <c:v>0</c:v>
                </c:pt>
                <c:pt idx="1">
                  <c:v>0</c:v>
                </c:pt>
                <c:pt idx="2">
                  <c:v>0</c:v>
                </c:pt>
                <c:pt idx="3">
                  <c:v>0</c:v>
                </c:pt>
              </c:numCache>
            </c:numRef>
          </c:val>
          <c:extLst>
            <c:ext xmlns:c16="http://schemas.microsoft.com/office/drawing/2014/chart" uri="{C3380CC4-5D6E-409C-BE32-E72D297353CC}">
              <c16:uniqueId val="{00000000-7BA5-420C-8C92-3B4D638AB844}"/>
            </c:ext>
          </c:extLst>
        </c:ser>
        <c:ser>
          <c:idx val="1"/>
          <c:order val="1"/>
          <c:tx>
            <c:strRef>
              <c:f>RESULTATS!$L$61</c:f>
              <c:strCache>
                <c:ptCount val="1"/>
                <c:pt idx="0">
                  <c:v>Manteniment</c:v>
                </c:pt>
              </c:strCache>
            </c:strRef>
          </c:tx>
          <c:spPr>
            <a:solidFill>
              <a:schemeClr val="accent5">
                <a:lumMod val="60000"/>
                <a:lumOff val="40000"/>
              </a:schemeClr>
            </a:solidFill>
            <a:ln>
              <a:solidFill>
                <a:schemeClr val="accent5">
                  <a:lumMod val="75000"/>
                </a:schemeClr>
              </a:solidFill>
            </a:ln>
            <a:effectLst/>
          </c:spPr>
          <c:invertIfNegative val="0"/>
          <c:cat>
            <c:numRef>
              <c:f>RESULTATS!$N$53:$Q$53</c:f>
              <c:numCache>
                <c:formatCode>General</c:formatCode>
                <c:ptCount val="4"/>
                <c:pt idx="0">
                  <c:v>0</c:v>
                </c:pt>
                <c:pt idx="1">
                  <c:v>0</c:v>
                </c:pt>
                <c:pt idx="2">
                  <c:v>0</c:v>
                </c:pt>
                <c:pt idx="3">
                  <c:v>0</c:v>
                </c:pt>
              </c:numCache>
            </c:numRef>
          </c:cat>
          <c:val>
            <c:numRef>
              <c:f>RESULTATS!$N$61:$Q$61</c:f>
              <c:numCache>
                <c:formatCode>#,##0</c:formatCode>
                <c:ptCount val="4"/>
                <c:pt idx="0">
                  <c:v>0</c:v>
                </c:pt>
                <c:pt idx="1">
                  <c:v>0</c:v>
                </c:pt>
                <c:pt idx="2">
                  <c:v>0</c:v>
                </c:pt>
                <c:pt idx="3">
                  <c:v>0</c:v>
                </c:pt>
              </c:numCache>
            </c:numRef>
          </c:val>
          <c:extLst>
            <c:ext xmlns:c16="http://schemas.microsoft.com/office/drawing/2014/chart" uri="{C3380CC4-5D6E-409C-BE32-E72D297353CC}">
              <c16:uniqueId val="{00000001-7BA5-420C-8C92-3B4D638AB844}"/>
            </c:ext>
          </c:extLst>
        </c:ser>
        <c:ser>
          <c:idx val="2"/>
          <c:order val="2"/>
          <c:tx>
            <c:strRef>
              <c:f>RESULTATS!$L$62</c:f>
              <c:strCache>
                <c:ptCount val="1"/>
                <c:pt idx="0">
                  <c:v>Inversió</c:v>
                </c:pt>
              </c:strCache>
            </c:strRef>
          </c:tx>
          <c:spPr>
            <a:solidFill>
              <a:schemeClr val="accent5">
                <a:lumMod val="20000"/>
                <a:lumOff val="80000"/>
              </a:schemeClr>
            </a:solidFill>
            <a:ln>
              <a:solidFill>
                <a:schemeClr val="accent5">
                  <a:lumMod val="75000"/>
                </a:schemeClr>
              </a:solidFill>
            </a:ln>
            <a:effectLst/>
          </c:spPr>
          <c:invertIfNegative val="0"/>
          <c:cat>
            <c:numRef>
              <c:f>RESULTATS!$N$53:$Q$53</c:f>
              <c:numCache>
                <c:formatCode>General</c:formatCode>
                <c:ptCount val="4"/>
                <c:pt idx="0">
                  <c:v>0</c:v>
                </c:pt>
                <c:pt idx="1">
                  <c:v>0</c:v>
                </c:pt>
                <c:pt idx="2">
                  <c:v>0</c:v>
                </c:pt>
                <c:pt idx="3">
                  <c:v>0</c:v>
                </c:pt>
              </c:numCache>
            </c:numRef>
          </c:cat>
          <c:val>
            <c:numRef>
              <c:f>RESULTATS!$N$62:$Q$62</c:f>
              <c:numCache>
                <c:formatCode>#,##0</c:formatCode>
                <c:ptCount val="4"/>
                <c:pt idx="0">
                  <c:v>0</c:v>
                </c:pt>
                <c:pt idx="1">
                  <c:v>0</c:v>
                </c:pt>
                <c:pt idx="2">
                  <c:v>0</c:v>
                </c:pt>
                <c:pt idx="3">
                  <c:v>0</c:v>
                </c:pt>
              </c:numCache>
            </c:numRef>
          </c:val>
          <c:extLst>
            <c:ext xmlns:c16="http://schemas.microsoft.com/office/drawing/2014/chart" uri="{C3380CC4-5D6E-409C-BE32-E72D297353CC}">
              <c16:uniqueId val="{00000002-7BA5-420C-8C92-3B4D638AB844}"/>
            </c:ext>
          </c:extLst>
        </c:ser>
        <c:dLbls>
          <c:showLegendKey val="0"/>
          <c:showVal val="0"/>
          <c:showCatName val="0"/>
          <c:showSerName val="0"/>
          <c:showPercent val="0"/>
          <c:showBubbleSize val="0"/>
        </c:dLbls>
        <c:gapWidth val="150"/>
        <c:overlap val="100"/>
        <c:axId val="544719352"/>
        <c:axId val="544722232"/>
      </c:barChart>
      <c:catAx>
        <c:axId val="544719352"/>
        <c:scaling>
          <c:orientation val="minMax"/>
        </c:scaling>
        <c:delete val="0"/>
        <c:axPos val="b"/>
        <c:numFmt formatCode="@" sourceLinked="0"/>
        <c:majorTickMark val="out"/>
        <c:minorTickMark val="none"/>
        <c:tickLblPos val="low"/>
        <c:spPr>
          <a:noFill/>
          <a:ln w="9525" cap="flat" cmpd="sng" algn="ctr">
            <a:solidFill>
              <a:schemeClr val="tx1">
                <a:lumMod val="15000"/>
                <a:lumOff val="85000"/>
              </a:schemeClr>
            </a:solidFill>
            <a:round/>
          </a:ln>
          <a:effectLst/>
        </c:spPr>
        <c:txPr>
          <a:bodyPr rot="0" spcFirstLastPara="1" vertOverflow="ellipsis" wrap="square" anchor="t" anchorCtr="0"/>
          <a:lstStyle/>
          <a:p>
            <a:pPr>
              <a:defRPr sz="900" b="0" i="0" u="none" strike="noStrike" kern="1200" baseline="0">
                <a:solidFill>
                  <a:schemeClr val="tx1">
                    <a:lumMod val="65000"/>
                    <a:lumOff val="35000"/>
                  </a:schemeClr>
                </a:solidFill>
                <a:latin typeface="+mn-lt"/>
                <a:ea typeface="+mn-ea"/>
                <a:cs typeface="+mn-cs"/>
              </a:defRPr>
            </a:pPr>
            <a:endParaRPr lang="ca-ES"/>
          </a:p>
        </c:txPr>
        <c:crossAx val="544722232"/>
        <c:crosses val="autoZero"/>
        <c:auto val="1"/>
        <c:lblAlgn val="ctr"/>
        <c:lblOffset val="100"/>
        <c:noMultiLvlLbl val="0"/>
      </c:catAx>
      <c:valAx>
        <c:axId val="5447222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ca-ES"/>
                  <a:t>€/m3</a:t>
                </a:r>
              </a:p>
            </c:rich>
          </c:tx>
          <c:layout>
            <c:manualLayout>
              <c:xMode val="edge"/>
              <c:yMode val="edge"/>
              <c:x val="7.0113618797543343E-3"/>
              <c:y val="4.4087159091491752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ca-E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544719352"/>
        <c:crosses val="autoZero"/>
        <c:crossBetween val="between"/>
      </c:valAx>
      <c:spPr>
        <a:noFill/>
        <a:ln>
          <a:noFill/>
        </a:ln>
        <a:effectLst/>
      </c:spPr>
    </c:plotArea>
    <c:legend>
      <c:legendPos val="b"/>
      <c:layout>
        <c:manualLayout>
          <c:xMode val="edge"/>
          <c:yMode val="edge"/>
          <c:x val="5.7580932444591344E-2"/>
          <c:y val="0.93839869404665177"/>
          <c:w val="0.89528636221744795"/>
          <c:h val="5.244936996342734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pieChart>
        <c:varyColors val="1"/>
        <c:ser>
          <c:idx val="0"/>
          <c:order val="0"/>
          <c:tx>
            <c:strRef>
              <c:f>CALCUL_ALTER!$AP$4</c:f>
              <c:strCache>
                <c:ptCount val="1"/>
                <c:pt idx="0">
                  <c:v>0</c:v>
                </c:pt>
              </c:strCache>
            </c:strRef>
          </c:tx>
          <c:explosion val="2"/>
          <c:dPt>
            <c:idx val="0"/>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1-241D-47E0-8D9F-383F7D285E3A}"/>
              </c:ext>
            </c:extLst>
          </c:dPt>
          <c:dPt>
            <c:idx val="1"/>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3-241D-47E0-8D9F-383F7D285E3A}"/>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241D-47E0-8D9F-383F7D285E3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bestFit"/>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CALCUL_ALTER!$I$6:$I$8</c:f>
              <c:strCache>
                <c:ptCount val="3"/>
                <c:pt idx="0">
                  <c:v>Demanda ACS</c:v>
                </c:pt>
                <c:pt idx="1">
                  <c:v>Pèrdues dipòsit</c:v>
                </c:pt>
                <c:pt idx="2">
                  <c:v>Pèrdues recirculació</c:v>
                </c:pt>
              </c:strCache>
            </c:strRef>
          </c:cat>
          <c:val>
            <c:numRef>
              <c:f>CALCUL_ALTER!$AW$6:$AW$8</c:f>
              <c:numCache>
                <c:formatCode>#,##0</c:formatCode>
                <c:ptCount val="3"/>
                <c:pt idx="0">
                  <c:v>0</c:v>
                </c:pt>
                <c:pt idx="1">
                  <c:v>0</c:v>
                </c:pt>
                <c:pt idx="2">
                  <c:v>0</c:v>
                </c:pt>
              </c:numCache>
            </c:numRef>
          </c:val>
          <c:extLst>
            <c:ext xmlns:c16="http://schemas.microsoft.com/office/drawing/2014/chart" uri="{C3380CC4-5D6E-409C-BE32-E72D297353CC}">
              <c16:uniqueId val="{00000006-241D-47E0-8D9F-383F7D285E3A}"/>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pieChart>
        <c:varyColors val="1"/>
        <c:ser>
          <c:idx val="0"/>
          <c:order val="0"/>
          <c:tx>
            <c:strRef>
              <c:f>CALCUL_ALTER!$W$4</c:f>
              <c:strCache>
                <c:ptCount val="1"/>
                <c:pt idx="0">
                  <c:v>0</c:v>
                </c:pt>
              </c:strCache>
            </c:strRef>
          </c:tx>
          <c:explosion val="2"/>
          <c:dPt>
            <c:idx val="0"/>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1-13F7-45A8-8CB3-05F43000B6E1}"/>
              </c:ext>
            </c:extLst>
          </c:dPt>
          <c:dPt>
            <c:idx val="1"/>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3-13F7-45A8-8CB3-05F43000B6E1}"/>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13F7-45A8-8CB3-05F43000B6E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bestFit"/>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CALCUL_ALTER!$I$6:$I$8</c:f>
              <c:strCache>
                <c:ptCount val="3"/>
                <c:pt idx="0">
                  <c:v>Demanda ACS</c:v>
                </c:pt>
                <c:pt idx="1">
                  <c:v>Pèrdues dipòsit</c:v>
                </c:pt>
                <c:pt idx="2">
                  <c:v>Pèrdues recirculació</c:v>
                </c:pt>
              </c:strCache>
            </c:strRef>
          </c:cat>
          <c:val>
            <c:numRef>
              <c:f>CALCUL_ALTER!$AD$6:$AD$8</c:f>
              <c:numCache>
                <c:formatCode>#,##0</c:formatCode>
                <c:ptCount val="3"/>
                <c:pt idx="0">
                  <c:v>0</c:v>
                </c:pt>
                <c:pt idx="1">
                  <c:v>0</c:v>
                </c:pt>
                <c:pt idx="2">
                  <c:v>0</c:v>
                </c:pt>
              </c:numCache>
            </c:numRef>
          </c:val>
          <c:extLst>
            <c:ext xmlns:c16="http://schemas.microsoft.com/office/drawing/2014/chart" uri="{C3380CC4-5D6E-409C-BE32-E72D297353CC}">
              <c16:uniqueId val="{00000006-13F7-45A8-8CB3-05F43000B6E1}"/>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pieChart>
        <c:varyColors val="1"/>
        <c:ser>
          <c:idx val="0"/>
          <c:order val="0"/>
          <c:tx>
            <c:strRef>
              <c:f>CALCUL_ALTER!$D$4</c:f>
              <c:strCache>
                <c:ptCount val="1"/>
                <c:pt idx="0">
                  <c:v>0</c:v>
                </c:pt>
              </c:strCache>
            </c:strRef>
          </c:tx>
          <c:explosion val="2"/>
          <c:dPt>
            <c:idx val="0"/>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1-6C5F-4F77-9F60-9C6BA0939BDD}"/>
              </c:ext>
            </c:extLst>
          </c:dPt>
          <c:dPt>
            <c:idx val="1"/>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3-6C5F-4F77-9F60-9C6BA0939BDD}"/>
              </c:ext>
            </c:extLst>
          </c:dPt>
          <c:dPt>
            <c:idx val="2"/>
            <c:bubble3D val="0"/>
            <c:spPr>
              <a:solidFill>
                <a:schemeClr val="accent2"/>
              </a:solidFill>
              <a:ln w="19050">
                <a:noFill/>
              </a:ln>
              <a:effectLst/>
            </c:spPr>
            <c:extLst>
              <c:ext xmlns:c16="http://schemas.microsoft.com/office/drawing/2014/chart" uri="{C3380CC4-5D6E-409C-BE32-E72D297353CC}">
                <c16:uniqueId val="{00000005-6C5F-4F77-9F60-9C6BA0939BD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bestFit"/>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CALCUL_ALTER!$I$6:$I$8</c:f>
              <c:strCache>
                <c:ptCount val="3"/>
                <c:pt idx="0">
                  <c:v>Demanda ACS</c:v>
                </c:pt>
                <c:pt idx="1">
                  <c:v>Pèrdues dipòsit</c:v>
                </c:pt>
                <c:pt idx="2">
                  <c:v>Pèrdues recirculació</c:v>
                </c:pt>
              </c:strCache>
            </c:strRef>
          </c:cat>
          <c:val>
            <c:numRef>
              <c:f>CALCUL_ALTER!$K$6:$K$8</c:f>
              <c:numCache>
                <c:formatCode>#,##0</c:formatCode>
                <c:ptCount val="3"/>
                <c:pt idx="0">
                  <c:v>0</c:v>
                </c:pt>
                <c:pt idx="1">
                  <c:v>0</c:v>
                </c:pt>
                <c:pt idx="2">
                  <c:v>0</c:v>
                </c:pt>
              </c:numCache>
            </c:numRef>
          </c:val>
          <c:extLst>
            <c:ext xmlns:c16="http://schemas.microsoft.com/office/drawing/2014/chart" uri="{C3380CC4-5D6E-409C-BE32-E72D297353CC}">
              <c16:uniqueId val="{00000006-6C5F-4F77-9F60-9C6BA0939BDD}"/>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RESULTATS!A1"/><Relationship Id="rId2" Type="http://schemas.openxmlformats.org/officeDocument/2006/relationships/hyperlink" Target="#DADES_ACTUAL!A1"/><Relationship Id="rId1" Type="http://schemas.openxmlformats.org/officeDocument/2006/relationships/image" Target="../media/image1.jpeg"/><Relationship Id="rId4" Type="http://schemas.openxmlformats.org/officeDocument/2006/relationships/hyperlink" Target="#DADES_ALTER!A1"/></Relationships>
</file>

<file path=xl/drawings/_rels/drawing10.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sv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jpe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svg"/><Relationship Id="rId1" Type="http://schemas.openxmlformats.org/officeDocument/2006/relationships/image" Target="../media/image5.png"/><Relationship Id="rId4" Type="http://schemas.openxmlformats.org/officeDocument/2006/relationships/image" Target="../media/image8.sv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5" Type="http://schemas.openxmlformats.org/officeDocument/2006/relationships/image" Target="../media/image16.png"/><Relationship Id="rId4" Type="http://schemas.openxmlformats.org/officeDocument/2006/relationships/image" Target="../media/image15.png"/></Relationships>
</file>

<file path=xl/drawings/_rels/drawing6.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image" Target="../media/image7.png"/><Relationship Id="rId7" Type="http://schemas.openxmlformats.org/officeDocument/2006/relationships/image" Target="../media/image19.png"/><Relationship Id="rId2" Type="http://schemas.openxmlformats.org/officeDocument/2006/relationships/image" Target="../media/image6.svg"/><Relationship Id="rId1" Type="http://schemas.openxmlformats.org/officeDocument/2006/relationships/image" Target="../media/image5.png"/><Relationship Id="rId6" Type="http://schemas.openxmlformats.org/officeDocument/2006/relationships/image" Target="../media/image18.png"/><Relationship Id="rId5" Type="http://schemas.openxmlformats.org/officeDocument/2006/relationships/image" Target="../media/image17.png"/><Relationship Id="rId4" Type="http://schemas.openxmlformats.org/officeDocument/2006/relationships/image" Target="../media/image8.svg"/></Relationships>
</file>

<file path=xl/drawings/_rels/drawing7.xml.rels><?xml version="1.0" encoding="UTF-8" standalone="yes"?>
<Relationships xmlns="http://schemas.openxmlformats.org/package/2006/relationships"><Relationship Id="rId1" Type="http://schemas.openxmlformats.org/officeDocument/2006/relationships/image" Target="../media/image21.png"/></Relationships>
</file>

<file path=xl/drawings/_rels/drawing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 Id="rId6" Type="http://schemas.openxmlformats.org/officeDocument/2006/relationships/image" Target="../media/image17.png"/><Relationship Id="rId5" Type="http://schemas.openxmlformats.org/officeDocument/2006/relationships/image" Target="../media/image25.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9</xdr:col>
      <xdr:colOff>147002</xdr:colOff>
      <xdr:row>1</xdr:row>
      <xdr:rowOff>146050</xdr:rowOff>
    </xdr:from>
    <xdr:to>
      <xdr:col>12</xdr:col>
      <xdr:colOff>777620</xdr:colOff>
      <xdr:row>3</xdr:row>
      <xdr:rowOff>131318</xdr:rowOff>
    </xdr:to>
    <xdr:pic>
      <xdr:nvPicPr>
        <xdr:cNvPr id="2" name="Imatge 1">
          <a:extLst>
            <a:ext uri="{FF2B5EF4-FFF2-40B4-BE49-F238E27FC236}">
              <a16:creationId xmlns:a16="http://schemas.microsoft.com/office/drawing/2014/main" id="{2466357F-F4E6-4A8A-BF72-D332BD5325C6}"/>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481002" y="283210"/>
          <a:ext cx="2307018" cy="777748"/>
        </a:xfrm>
        <a:prstGeom prst="rect">
          <a:avLst/>
        </a:prstGeom>
      </xdr:spPr>
    </xdr:pic>
    <xdr:clientData/>
  </xdr:twoCellAnchor>
  <xdr:twoCellAnchor>
    <xdr:from>
      <xdr:col>4</xdr:col>
      <xdr:colOff>40799</xdr:colOff>
      <xdr:row>19</xdr:row>
      <xdr:rowOff>36356</xdr:rowOff>
    </xdr:from>
    <xdr:to>
      <xdr:col>6</xdr:col>
      <xdr:colOff>304800</xdr:colOff>
      <xdr:row>21</xdr:row>
      <xdr:rowOff>0</xdr:rowOff>
    </xdr:to>
    <xdr:sp macro="" textlink="">
      <xdr:nvSpPr>
        <xdr:cNvPr id="3" name="Rectangle arrodonit 2">
          <a:hlinkClick xmlns:r="http://schemas.openxmlformats.org/officeDocument/2006/relationships" r:id="rId2"/>
          <a:extLst>
            <a:ext uri="{FF2B5EF4-FFF2-40B4-BE49-F238E27FC236}">
              <a16:creationId xmlns:a16="http://schemas.microsoft.com/office/drawing/2014/main" id="{F719EF00-BA0F-4CD7-B035-09DFD70085B6}"/>
            </a:ext>
          </a:extLst>
        </xdr:cNvPr>
        <xdr:cNvSpPr/>
      </xdr:nvSpPr>
      <xdr:spPr>
        <a:xfrm>
          <a:off x="2288699" y="7153436"/>
          <a:ext cx="1483201" cy="497044"/>
        </a:xfrm>
        <a:prstGeom prst="roundRect">
          <a:avLst/>
        </a:prstGeom>
        <a:solidFill>
          <a:schemeClr val="accent4">
            <a:lumMod val="75000"/>
          </a:schemeClr>
        </a:solidFill>
        <a:ln>
          <a:solidFill>
            <a:schemeClr val="accent4">
              <a:lumMod val="50000"/>
            </a:schemeClr>
          </a:solidFill>
        </a:ln>
        <a:scene3d>
          <a:camera prst="orthographicFront"/>
          <a:lightRig rig="threePt" dir="t"/>
        </a:scene3d>
        <a:sp3d>
          <a:bevelT w="114300" prst="artDeco"/>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ca-ES" sz="900" b="1" baseline="0">
              <a:solidFill>
                <a:sysClr val="windowText" lastClr="000000"/>
              </a:solidFill>
              <a:latin typeface="Neue Haas Grotesk Text Pro" panose="020B0504020202020204" pitchFamily="34" charset="0"/>
            </a:rPr>
            <a:t>Dades sistema ACS actual</a:t>
          </a:r>
          <a:endParaRPr lang="ca-ES" sz="1050" b="1" baseline="0">
            <a:solidFill>
              <a:sysClr val="windowText" lastClr="000000"/>
            </a:solidFill>
            <a:latin typeface="Neue Haas Grotesk Text Pro" panose="020B0504020202020204" pitchFamily="34" charset="0"/>
          </a:endParaRPr>
        </a:p>
      </xdr:txBody>
    </xdr:sp>
    <xdr:clientData/>
  </xdr:twoCellAnchor>
  <xdr:twoCellAnchor>
    <xdr:from>
      <xdr:col>4</xdr:col>
      <xdr:colOff>51434</xdr:colOff>
      <xdr:row>28</xdr:row>
      <xdr:rowOff>15240</xdr:rowOff>
    </xdr:from>
    <xdr:to>
      <xdr:col>6</xdr:col>
      <xdr:colOff>304800</xdr:colOff>
      <xdr:row>30</xdr:row>
      <xdr:rowOff>26510</xdr:rowOff>
    </xdr:to>
    <xdr:sp macro="" textlink="">
      <xdr:nvSpPr>
        <xdr:cNvPr id="4" name="Rectangle arrodonit 2">
          <a:hlinkClick xmlns:r="http://schemas.openxmlformats.org/officeDocument/2006/relationships" r:id="rId3"/>
          <a:extLst>
            <a:ext uri="{FF2B5EF4-FFF2-40B4-BE49-F238E27FC236}">
              <a16:creationId xmlns:a16="http://schemas.microsoft.com/office/drawing/2014/main" id="{68F6D79D-5C1E-45B2-9D9F-06D968BF3786}"/>
            </a:ext>
            <a:ext uri="{147F2762-F138-4A5C-976F-8EAC2B608ADB}">
              <a16:predDERef xmlns:a16="http://schemas.microsoft.com/office/drawing/2014/main" pred="{0A635501-CBEF-471C-ADE3-262B4F9FBF5A}"/>
            </a:ext>
          </a:extLst>
        </xdr:cNvPr>
        <xdr:cNvSpPr/>
      </xdr:nvSpPr>
      <xdr:spPr>
        <a:xfrm>
          <a:off x="2299334" y="9532620"/>
          <a:ext cx="1472566" cy="544670"/>
        </a:xfrm>
        <a:prstGeom prst="roundRect">
          <a:avLst/>
        </a:prstGeom>
        <a:solidFill>
          <a:schemeClr val="accent5">
            <a:lumMod val="60000"/>
            <a:lumOff val="40000"/>
          </a:schemeClr>
        </a:solidFill>
        <a:ln>
          <a:solidFill>
            <a:schemeClr val="accent5">
              <a:lumMod val="75000"/>
            </a:schemeClr>
          </a:solidFill>
        </a:ln>
        <a:scene3d>
          <a:camera prst="orthographicFront"/>
          <a:lightRig rig="threePt" dir="t"/>
        </a:scene3d>
        <a:sp3d>
          <a:bevelT w="114300" prst="artDeco"/>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ca-ES" sz="900" b="1">
              <a:solidFill>
                <a:sysClr val="windowText" lastClr="000000"/>
              </a:solidFill>
              <a:latin typeface="Neue Haas Grotesk Text Pro" panose="020B0504020202020204" pitchFamily="34" charset="0"/>
            </a:rPr>
            <a:t>Resultats comparativa</a:t>
          </a:r>
          <a:endParaRPr lang="ca-ES" sz="900" b="1" baseline="0">
            <a:solidFill>
              <a:sysClr val="windowText" lastClr="000000"/>
            </a:solidFill>
            <a:latin typeface="Neue Haas Grotesk Text Pro" panose="020B0504020202020204" pitchFamily="34" charset="0"/>
          </a:endParaRPr>
        </a:p>
      </xdr:txBody>
    </xdr:sp>
    <xdr:clientData/>
  </xdr:twoCellAnchor>
  <xdr:twoCellAnchor>
    <xdr:from>
      <xdr:col>4</xdr:col>
      <xdr:colOff>62753</xdr:colOff>
      <xdr:row>23</xdr:row>
      <xdr:rowOff>36356</xdr:rowOff>
    </xdr:from>
    <xdr:to>
      <xdr:col>6</xdr:col>
      <xdr:colOff>304801</xdr:colOff>
      <xdr:row>25</xdr:row>
      <xdr:rowOff>44823</xdr:rowOff>
    </xdr:to>
    <xdr:sp macro="" textlink="">
      <xdr:nvSpPr>
        <xdr:cNvPr id="6" name="Rectangle arrodonit 2">
          <a:hlinkClick xmlns:r="http://schemas.openxmlformats.org/officeDocument/2006/relationships" r:id="rId4"/>
          <a:extLst>
            <a:ext uri="{FF2B5EF4-FFF2-40B4-BE49-F238E27FC236}">
              <a16:creationId xmlns:a16="http://schemas.microsoft.com/office/drawing/2014/main" id="{49D4DBDD-8254-4E53-A91E-6E9C2D0C9269}"/>
            </a:ext>
          </a:extLst>
        </xdr:cNvPr>
        <xdr:cNvSpPr/>
      </xdr:nvSpPr>
      <xdr:spPr>
        <a:xfrm>
          <a:off x="2303929" y="8525932"/>
          <a:ext cx="1461248" cy="546350"/>
        </a:xfrm>
        <a:prstGeom prst="roundRect">
          <a:avLst/>
        </a:prstGeom>
        <a:solidFill>
          <a:schemeClr val="accent4">
            <a:lumMod val="60000"/>
            <a:lumOff val="40000"/>
          </a:schemeClr>
        </a:solidFill>
        <a:ln>
          <a:solidFill>
            <a:schemeClr val="accent4">
              <a:lumMod val="50000"/>
            </a:schemeClr>
          </a:solidFill>
        </a:ln>
        <a:scene3d>
          <a:camera prst="orthographicFront"/>
          <a:lightRig rig="threePt" dir="t"/>
        </a:scene3d>
        <a:sp3d>
          <a:bevelT w="114300" prst="artDeco"/>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ca-ES" sz="900" b="1" baseline="0">
              <a:solidFill>
                <a:sysClr val="windowText" lastClr="000000"/>
              </a:solidFill>
              <a:latin typeface="Neue Haas Grotesk Text Pro" panose="020B0504020202020204" pitchFamily="34" charset="0"/>
            </a:rPr>
            <a:t>Dades sistemes d'ACS ALTERNATIUS</a:t>
          </a:r>
          <a:endParaRPr lang="ca-ES" sz="1050" b="1" baseline="0">
            <a:solidFill>
              <a:sysClr val="windowText" lastClr="000000"/>
            </a:solidFill>
            <a:latin typeface="Neue Haas Grotesk Text Pro" panose="020B05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56</xdr:row>
      <xdr:rowOff>85725</xdr:rowOff>
    </xdr:from>
    <xdr:to>
      <xdr:col>7</xdr:col>
      <xdr:colOff>135164</xdr:colOff>
      <xdr:row>75</xdr:row>
      <xdr:rowOff>172210</xdr:rowOff>
    </xdr:to>
    <xdr:pic>
      <xdr:nvPicPr>
        <xdr:cNvPr id="8" name="Imatge 7">
          <a:extLst>
            <a:ext uri="{FF2B5EF4-FFF2-40B4-BE49-F238E27FC236}">
              <a16:creationId xmlns:a16="http://schemas.microsoft.com/office/drawing/2014/main" id="{A8D8EF5E-BD58-72F7-FC8C-4932FFDB5EE6}"/>
            </a:ext>
          </a:extLst>
        </xdr:cNvPr>
        <xdr:cNvPicPr>
          <a:picLocks noChangeAspect="1"/>
        </xdr:cNvPicPr>
      </xdr:nvPicPr>
      <xdr:blipFill>
        <a:blip xmlns:r="http://schemas.openxmlformats.org/officeDocument/2006/relationships" r:embed="rId1"/>
        <a:stretch>
          <a:fillRect/>
        </a:stretch>
      </xdr:blipFill>
      <xdr:spPr>
        <a:xfrm>
          <a:off x="0" y="13296900"/>
          <a:ext cx="5669189" cy="35135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403075</xdr:colOff>
      <xdr:row>21</xdr:row>
      <xdr:rowOff>141192</xdr:rowOff>
    </xdr:from>
    <xdr:to>
      <xdr:col>19</xdr:col>
      <xdr:colOff>401639</xdr:colOff>
      <xdr:row>44</xdr:row>
      <xdr:rowOff>72838</xdr:rowOff>
    </xdr:to>
    <xdr:grpSp>
      <xdr:nvGrpSpPr>
        <xdr:cNvPr id="2" name="Agrupa 1">
          <a:extLst>
            <a:ext uri="{FF2B5EF4-FFF2-40B4-BE49-F238E27FC236}">
              <a16:creationId xmlns:a16="http://schemas.microsoft.com/office/drawing/2014/main" id="{54C30CF9-B765-4251-AA7F-2A82FC089466}"/>
            </a:ext>
          </a:extLst>
        </xdr:cNvPr>
        <xdr:cNvGrpSpPr/>
      </xdr:nvGrpSpPr>
      <xdr:grpSpPr>
        <a:xfrm>
          <a:off x="8857465" y="4130262"/>
          <a:ext cx="4294339" cy="4229326"/>
          <a:chOff x="5581650" y="361950"/>
          <a:chExt cx="3905588" cy="3714161"/>
        </a:xfrm>
        <a:solidFill>
          <a:schemeClr val="bg1"/>
        </a:solidFill>
      </xdr:grpSpPr>
      <xdr:pic>
        <xdr:nvPicPr>
          <xdr:cNvPr id="3" name="Imatge 2">
            <a:extLst>
              <a:ext uri="{FF2B5EF4-FFF2-40B4-BE49-F238E27FC236}">
                <a16:creationId xmlns:a16="http://schemas.microsoft.com/office/drawing/2014/main" id="{F5877F0C-5A75-B8B0-F057-907C800DE960}"/>
              </a:ext>
            </a:extLst>
          </xdr:cNvPr>
          <xdr:cNvPicPr>
            <a:picLocks noChangeAspect="1"/>
          </xdr:cNvPicPr>
        </xdr:nvPicPr>
        <xdr:blipFill>
          <a:blip xmlns:r="http://schemas.openxmlformats.org/officeDocument/2006/relationships" r:embed="rId1"/>
          <a:stretch>
            <a:fillRect/>
          </a:stretch>
        </xdr:blipFill>
        <xdr:spPr>
          <a:xfrm>
            <a:off x="5581650" y="361950"/>
            <a:ext cx="3905588" cy="3292125"/>
          </a:xfrm>
          <a:prstGeom prst="rect">
            <a:avLst/>
          </a:prstGeom>
          <a:grpFill/>
        </xdr:spPr>
      </xdr:pic>
      <xdr:pic>
        <xdr:nvPicPr>
          <xdr:cNvPr id="4" name="Imatge 3">
            <a:extLst>
              <a:ext uri="{FF2B5EF4-FFF2-40B4-BE49-F238E27FC236}">
                <a16:creationId xmlns:a16="http://schemas.microsoft.com/office/drawing/2014/main" id="{3F421073-9FEC-61F3-03DD-AE01AA67DA94}"/>
              </a:ext>
            </a:extLst>
          </xdr:cNvPr>
          <xdr:cNvPicPr>
            <a:picLocks noChangeAspect="1"/>
          </xdr:cNvPicPr>
        </xdr:nvPicPr>
        <xdr:blipFill rotWithShape="1">
          <a:blip xmlns:r="http://schemas.openxmlformats.org/officeDocument/2006/relationships" r:embed="rId2"/>
          <a:srcRect t="39769"/>
          <a:stretch/>
        </xdr:blipFill>
        <xdr:spPr>
          <a:xfrm>
            <a:off x="5867399" y="3592831"/>
            <a:ext cx="2798445" cy="483280"/>
          </a:xfrm>
          <a:prstGeom prst="rect">
            <a:avLst/>
          </a:prstGeom>
          <a:grpFill/>
        </xdr:spPr>
      </xdr:pic>
    </xdr:grpSp>
    <xdr:clientData/>
  </xdr:twoCellAnchor>
  <xdr:oneCellAnchor>
    <xdr:from>
      <xdr:col>5</xdr:col>
      <xdr:colOff>594361</xdr:colOff>
      <xdr:row>25</xdr:row>
      <xdr:rowOff>43302</xdr:rowOff>
    </xdr:from>
    <xdr:ext cx="853440" cy="1757034"/>
    <xdr:pic>
      <xdr:nvPicPr>
        <xdr:cNvPr id="5" name="Imatge 4">
          <a:extLst>
            <a:ext uri="{FF2B5EF4-FFF2-40B4-BE49-F238E27FC236}">
              <a16:creationId xmlns:a16="http://schemas.microsoft.com/office/drawing/2014/main" id="{EF2AA1C7-866D-4BF7-89A8-77440878900A}"/>
            </a:ext>
          </a:extLst>
        </xdr:cNvPr>
        <xdr:cNvPicPr>
          <a:picLocks noChangeAspect="1"/>
        </xdr:cNvPicPr>
      </xdr:nvPicPr>
      <xdr:blipFill rotWithShape="1">
        <a:blip xmlns:r="http://schemas.openxmlformats.org/officeDocument/2006/relationships" r:embed="rId3"/>
        <a:srcRect t="4204"/>
        <a:stretch>
          <a:fillRect/>
        </a:stretch>
      </xdr:blipFill>
      <xdr:spPr>
        <a:xfrm>
          <a:off x="3992881" y="3609462"/>
          <a:ext cx="853440" cy="1757034"/>
        </a:xfrm>
        <a:prstGeom prst="rect">
          <a:avLst/>
        </a:prstGeom>
      </xdr:spPr>
    </xdr:pic>
    <xdr:clientData/>
  </xdr:oneCellAnchor>
  <xdr:twoCellAnchor editAs="oneCell">
    <xdr:from>
      <xdr:col>3</xdr:col>
      <xdr:colOff>99060</xdr:colOff>
      <xdr:row>45</xdr:row>
      <xdr:rowOff>38100</xdr:rowOff>
    </xdr:from>
    <xdr:to>
      <xdr:col>3</xdr:col>
      <xdr:colOff>472440</xdr:colOff>
      <xdr:row>46</xdr:row>
      <xdr:rowOff>57150</xdr:rowOff>
    </xdr:to>
    <xdr:pic>
      <xdr:nvPicPr>
        <xdr:cNvPr id="7" name="Gràfic 6" descr="Hill scene outline">
          <a:extLst>
            <a:ext uri="{FF2B5EF4-FFF2-40B4-BE49-F238E27FC236}">
              <a16:creationId xmlns:a16="http://schemas.microsoft.com/office/drawing/2014/main" id="{04C0BF3B-B0E1-B5F1-8CBB-CAE815941AF3}"/>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278380" y="7376160"/>
          <a:ext cx="381000" cy="381000"/>
        </a:xfrm>
        <a:prstGeom prst="rect">
          <a:avLst/>
        </a:prstGeom>
      </xdr:spPr>
    </xdr:pic>
    <xdr:clientData/>
  </xdr:twoCellAnchor>
  <xdr:twoCellAnchor editAs="oneCell">
    <xdr:from>
      <xdr:col>5</xdr:col>
      <xdr:colOff>449580</xdr:colOff>
      <xdr:row>45</xdr:row>
      <xdr:rowOff>0</xdr:rowOff>
    </xdr:from>
    <xdr:to>
      <xdr:col>6</xdr:col>
      <xdr:colOff>243840</xdr:colOff>
      <xdr:row>46</xdr:row>
      <xdr:rowOff>38100</xdr:rowOff>
    </xdr:to>
    <xdr:pic>
      <xdr:nvPicPr>
        <xdr:cNvPr id="10" name="Gràfic 9" descr="Hill scene outline">
          <a:extLst>
            <a:ext uri="{FF2B5EF4-FFF2-40B4-BE49-F238E27FC236}">
              <a16:creationId xmlns:a16="http://schemas.microsoft.com/office/drawing/2014/main" id="{82FA57B7-EEFB-C9A1-2712-08A916282554}"/>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3848100" y="7338060"/>
          <a:ext cx="411480" cy="411480"/>
        </a:xfrm>
        <a:prstGeom prst="rect">
          <a:avLst/>
        </a:prstGeom>
      </xdr:spPr>
    </xdr:pic>
    <xdr:clientData/>
  </xdr:twoCellAnchor>
  <xdr:twoCellAnchor editAs="oneCell">
    <xdr:from>
      <xdr:col>7</xdr:col>
      <xdr:colOff>457200</xdr:colOff>
      <xdr:row>45</xdr:row>
      <xdr:rowOff>30480</xdr:rowOff>
    </xdr:from>
    <xdr:to>
      <xdr:col>8</xdr:col>
      <xdr:colOff>167640</xdr:colOff>
      <xdr:row>45</xdr:row>
      <xdr:rowOff>358140</xdr:rowOff>
    </xdr:to>
    <xdr:pic>
      <xdr:nvPicPr>
        <xdr:cNvPr id="13" name="Gràfic 12" descr="Home outline">
          <a:extLst>
            <a:ext uri="{FF2B5EF4-FFF2-40B4-BE49-F238E27FC236}">
              <a16:creationId xmlns:a16="http://schemas.microsoft.com/office/drawing/2014/main" id="{3B01FA52-E65B-383A-3825-D91A40C0F60C}"/>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265420" y="7482840"/>
          <a:ext cx="327660" cy="327660"/>
        </a:xfrm>
        <a:prstGeom prst="rect">
          <a:avLst/>
        </a:prstGeom>
      </xdr:spPr>
    </xdr:pic>
    <xdr:clientData/>
  </xdr:twoCellAnchor>
  <xdr:twoCellAnchor editAs="oneCell">
    <xdr:from>
      <xdr:col>4</xdr:col>
      <xdr:colOff>160020</xdr:colOff>
      <xdr:row>45</xdr:row>
      <xdr:rowOff>22860</xdr:rowOff>
    </xdr:from>
    <xdr:to>
      <xdr:col>4</xdr:col>
      <xdr:colOff>478155</xdr:colOff>
      <xdr:row>45</xdr:row>
      <xdr:rowOff>361950</xdr:rowOff>
    </xdr:to>
    <xdr:pic>
      <xdr:nvPicPr>
        <xdr:cNvPr id="14" name="Gràfic 13" descr="Home outline">
          <a:extLst>
            <a:ext uri="{FF2B5EF4-FFF2-40B4-BE49-F238E27FC236}">
              <a16:creationId xmlns:a16="http://schemas.microsoft.com/office/drawing/2014/main" id="{421B13B0-C406-46AE-14D3-80E649E5FC9D}"/>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2948940" y="7475220"/>
          <a:ext cx="327660" cy="327660"/>
        </a:xfrm>
        <a:prstGeom prst="rect">
          <a:avLst/>
        </a:prstGeom>
      </xdr:spPr>
    </xdr:pic>
    <xdr:clientData/>
  </xdr:twoCellAnchor>
  <xdr:oneCellAnchor>
    <xdr:from>
      <xdr:col>7</xdr:col>
      <xdr:colOff>259080</xdr:colOff>
      <xdr:row>26</xdr:row>
      <xdr:rowOff>38100</xdr:rowOff>
    </xdr:from>
    <xdr:ext cx="802803" cy="1517457"/>
    <xdr:pic>
      <xdr:nvPicPr>
        <xdr:cNvPr id="15" name="Imatge 14">
          <a:extLst>
            <a:ext uri="{FF2B5EF4-FFF2-40B4-BE49-F238E27FC236}">
              <a16:creationId xmlns:a16="http://schemas.microsoft.com/office/drawing/2014/main" id="{0E1186AC-389F-4DE1-A266-1A537F260C6A}"/>
            </a:ext>
          </a:extLst>
        </xdr:cNvPr>
        <xdr:cNvPicPr>
          <a:picLocks noChangeAspect="1"/>
        </xdr:cNvPicPr>
      </xdr:nvPicPr>
      <xdr:blipFill>
        <a:blip xmlns:r="http://schemas.openxmlformats.org/officeDocument/2006/relationships" r:embed="rId8"/>
        <a:stretch>
          <a:fillRect/>
        </a:stretch>
      </xdr:blipFill>
      <xdr:spPr>
        <a:xfrm>
          <a:off x="5067300" y="3787140"/>
          <a:ext cx="802803" cy="1517457"/>
        </a:xfrm>
        <a:prstGeom prst="rect">
          <a:avLst/>
        </a:prstGeom>
      </xdr:spPr>
    </xdr:pic>
    <xdr:clientData/>
  </xdr:oneCellAnchor>
  <xdr:twoCellAnchor editAs="oneCell">
    <xdr:from>
      <xdr:col>12</xdr:col>
      <xdr:colOff>304801</xdr:colOff>
      <xdr:row>3</xdr:row>
      <xdr:rowOff>123825</xdr:rowOff>
    </xdr:from>
    <xdr:to>
      <xdr:col>16</xdr:col>
      <xdr:colOff>207646</xdr:colOff>
      <xdr:row>19</xdr:row>
      <xdr:rowOff>96927</xdr:rowOff>
    </xdr:to>
    <xdr:grpSp>
      <xdr:nvGrpSpPr>
        <xdr:cNvPr id="25" name="Agrupa 24">
          <a:extLst>
            <a:ext uri="{FF2B5EF4-FFF2-40B4-BE49-F238E27FC236}">
              <a16:creationId xmlns:a16="http://schemas.microsoft.com/office/drawing/2014/main" id="{5842693F-4471-EDCD-7248-6BC0AE94CF66}"/>
            </a:ext>
          </a:extLst>
        </xdr:cNvPr>
        <xdr:cNvGrpSpPr>
          <a:grpSpLocks noChangeAspect="1"/>
        </xdr:cNvGrpSpPr>
      </xdr:nvGrpSpPr>
      <xdr:grpSpPr>
        <a:xfrm>
          <a:off x="8763001" y="811530"/>
          <a:ext cx="2373630" cy="2910612"/>
          <a:chOff x="8016240" y="457200"/>
          <a:chExt cx="3322321" cy="4107180"/>
        </a:xfrm>
      </xdr:grpSpPr>
      <xdr:pic>
        <xdr:nvPicPr>
          <xdr:cNvPr id="16" name="Picture 2" descr="The Glitch + The Fix: High-end DHW issues | Plumbing &amp; Mechanical">
            <a:extLst>
              <a:ext uri="{FF2B5EF4-FFF2-40B4-BE49-F238E27FC236}">
                <a16:creationId xmlns:a16="http://schemas.microsoft.com/office/drawing/2014/main" id="{B3C3906D-D36C-AC4A-EAD8-633A5D1DBD89}"/>
              </a:ext>
            </a:extLst>
          </xdr:cNvPr>
          <xdr:cNvPicPr>
            <a:picLocks noChangeAspect="1" noChangeArrowheads="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26971" r="27543"/>
          <a:stretch/>
        </xdr:blipFill>
        <xdr:spPr bwMode="auto">
          <a:xfrm>
            <a:off x="8016240" y="457200"/>
            <a:ext cx="3322321" cy="410718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24" name="Agrupa 23">
            <a:extLst>
              <a:ext uri="{FF2B5EF4-FFF2-40B4-BE49-F238E27FC236}">
                <a16:creationId xmlns:a16="http://schemas.microsoft.com/office/drawing/2014/main" id="{531B5BE8-12B4-6CF4-5AE8-666FDFAB4BF6}"/>
              </a:ext>
            </a:extLst>
          </xdr:cNvPr>
          <xdr:cNvGrpSpPr/>
        </xdr:nvGrpSpPr>
        <xdr:grpSpPr>
          <a:xfrm>
            <a:off x="8747760" y="861060"/>
            <a:ext cx="2453640" cy="2560320"/>
            <a:chOff x="8747760" y="861060"/>
            <a:chExt cx="2453640" cy="2560320"/>
          </a:xfrm>
        </xdr:grpSpPr>
        <xdr:sp macro="" textlink="">
          <xdr:nvSpPr>
            <xdr:cNvPr id="17" name="Rectangle 16">
              <a:extLst>
                <a:ext uri="{FF2B5EF4-FFF2-40B4-BE49-F238E27FC236}">
                  <a16:creationId xmlns:a16="http://schemas.microsoft.com/office/drawing/2014/main" id="{CF344852-A2C7-C9C5-37DE-EDDBE33FBC06}"/>
                </a:ext>
              </a:extLst>
            </xdr:cNvPr>
            <xdr:cNvSpPr/>
          </xdr:nvSpPr>
          <xdr:spPr>
            <a:xfrm>
              <a:off x="8961120" y="1767840"/>
              <a:ext cx="678180" cy="1653540"/>
            </a:xfrm>
            <a:prstGeom prst="rect">
              <a:avLst/>
            </a:prstGeom>
            <a:noFill/>
            <a:ln w="38100">
              <a:solidFill>
                <a:srgbClr val="C0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ca-ES" sz="1100"/>
            </a:p>
          </xdr:txBody>
        </xdr:sp>
        <xdr:sp macro="" textlink="">
          <xdr:nvSpPr>
            <xdr:cNvPr id="18" name="Rectangle 17">
              <a:extLst>
                <a:ext uri="{FF2B5EF4-FFF2-40B4-BE49-F238E27FC236}">
                  <a16:creationId xmlns:a16="http://schemas.microsoft.com/office/drawing/2014/main" id="{FFBC996B-FC6D-4ED4-BEB4-7EC1666AEA3C}"/>
                </a:ext>
              </a:extLst>
            </xdr:cNvPr>
            <xdr:cNvSpPr/>
          </xdr:nvSpPr>
          <xdr:spPr>
            <a:xfrm>
              <a:off x="8747760" y="861060"/>
              <a:ext cx="396240" cy="381000"/>
            </a:xfrm>
            <a:prstGeom prst="rect">
              <a:avLst/>
            </a:prstGeom>
            <a:noFill/>
            <a:ln w="38100">
              <a:solidFill>
                <a:srgbClr val="C0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ca-ES" sz="1100"/>
            </a:p>
          </xdr:txBody>
        </xdr:sp>
        <xdr:sp macro="" textlink="">
          <xdr:nvSpPr>
            <xdr:cNvPr id="19" name="QuadreDeText 18">
              <a:extLst>
                <a:ext uri="{FF2B5EF4-FFF2-40B4-BE49-F238E27FC236}">
                  <a16:creationId xmlns:a16="http://schemas.microsoft.com/office/drawing/2014/main" id="{04413772-586A-F3D9-4AAF-6E58F93E14D2}"/>
                </a:ext>
              </a:extLst>
            </xdr:cNvPr>
            <xdr:cNvSpPr txBox="1"/>
          </xdr:nvSpPr>
          <xdr:spPr>
            <a:xfrm>
              <a:off x="9860280" y="1021080"/>
              <a:ext cx="1341120" cy="655320"/>
            </a:xfrm>
            <a:prstGeom prst="rect">
              <a:avLst/>
            </a:prstGeom>
            <a:solidFill>
              <a:schemeClr val="lt1"/>
            </a:solidFill>
            <a:ln w="1905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a-ES" sz="800"/>
                <a:t>sistemes</a:t>
              </a:r>
              <a:r>
                <a:rPr lang="ca-ES" sz="800" baseline="0"/>
                <a:t> auxiliars elèctrics dedicats a ACS</a:t>
              </a:r>
              <a:endParaRPr lang="ca-ES" sz="800"/>
            </a:p>
          </xdr:txBody>
        </xdr:sp>
        <xdr:cxnSp macro="">
          <xdr:nvCxnSpPr>
            <xdr:cNvPr id="21" name="Connector de fletxa recta 20">
              <a:extLst>
                <a:ext uri="{FF2B5EF4-FFF2-40B4-BE49-F238E27FC236}">
                  <a16:creationId xmlns:a16="http://schemas.microsoft.com/office/drawing/2014/main" id="{873C0980-4BFF-1341-3923-3898F024D084}"/>
                </a:ext>
              </a:extLst>
            </xdr:cNvPr>
            <xdr:cNvCxnSpPr/>
          </xdr:nvCxnSpPr>
          <xdr:spPr>
            <a:xfrm flipH="1" flipV="1">
              <a:off x="9174480" y="1051560"/>
              <a:ext cx="708660" cy="297180"/>
            </a:xfrm>
            <a:prstGeom prst="straightConnector1">
              <a:avLst/>
            </a:prstGeom>
            <a:ln>
              <a:solidFill>
                <a:srgbClr val="C00000"/>
              </a:solidFill>
              <a:tailEnd type="triangle"/>
            </a:ln>
          </xdr:spPr>
          <xdr:style>
            <a:lnRef idx="2">
              <a:schemeClr val="accent1"/>
            </a:lnRef>
            <a:fillRef idx="0">
              <a:schemeClr val="accent1"/>
            </a:fillRef>
            <a:effectRef idx="1">
              <a:schemeClr val="accent1"/>
            </a:effectRef>
            <a:fontRef idx="minor">
              <a:schemeClr val="tx1"/>
            </a:fontRef>
          </xdr:style>
        </xdr:cxnSp>
        <xdr:cxnSp macro="">
          <xdr:nvCxnSpPr>
            <xdr:cNvPr id="23" name="Connector de fletxa recta 22">
              <a:extLst>
                <a:ext uri="{FF2B5EF4-FFF2-40B4-BE49-F238E27FC236}">
                  <a16:creationId xmlns:a16="http://schemas.microsoft.com/office/drawing/2014/main" id="{27041C9A-BC30-7696-9288-5528D5417567}"/>
                </a:ext>
              </a:extLst>
            </xdr:cNvPr>
            <xdr:cNvCxnSpPr>
              <a:stCxn id="19" idx="1"/>
            </xdr:cNvCxnSpPr>
          </xdr:nvCxnSpPr>
          <xdr:spPr>
            <a:xfrm flipH="1">
              <a:off x="9646920" y="1348740"/>
              <a:ext cx="213360" cy="426720"/>
            </a:xfrm>
            <a:prstGeom prst="straightConnector1">
              <a:avLst/>
            </a:prstGeom>
            <a:ln>
              <a:solidFill>
                <a:srgbClr val="C00000"/>
              </a:solidFill>
              <a:tailEnd type="triangle"/>
            </a:ln>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11</xdr:col>
      <xdr:colOff>85725</xdr:colOff>
      <xdr:row>70</xdr:row>
      <xdr:rowOff>171450</xdr:rowOff>
    </xdr:from>
    <xdr:to>
      <xdr:col>18</xdr:col>
      <xdr:colOff>531177</xdr:colOff>
      <xdr:row>86</xdr:row>
      <xdr:rowOff>92976</xdr:rowOff>
    </xdr:to>
    <xdr:grpSp>
      <xdr:nvGrpSpPr>
        <xdr:cNvPr id="26" name="Agrupa 25">
          <a:extLst>
            <a:ext uri="{FF2B5EF4-FFF2-40B4-BE49-F238E27FC236}">
              <a16:creationId xmlns:a16="http://schemas.microsoft.com/office/drawing/2014/main" id="{D9229F36-82B7-12AD-6D8A-6F26BA3B0B92}"/>
            </a:ext>
          </a:extLst>
        </xdr:cNvPr>
        <xdr:cNvGrpSpPr/>
      </xdr:nvGrpSpPr>
      <xdr:grpSpPr>
        <a:xfrm>
          <a:off x="8212455" y="14102715"/>
          <a:ext cx="4463097" cy="3310521"/>
          <a:chOff x="4810255" y="899483"/>
          <a:chExt cx="4474527" cy="3144786"/>
        </a:xfrm>
      </xdr:grpSpPr>
      <xdr:grpSp>
        <xdr:nvGrpSpPr>
          <xdr:cNvPr id="27" name="Agrupa 26">
            <a:extLst>
              <a:ext uri="{FF2B5EF4-FFF2-40B4-BE49-F238E27FC236}">
                <a16:creationId xmlns:a16="http://schemas.microsoft.com/office/drawing/2014/main" id="{FD5C04F1-F44D-3449-6E0F-8D9E826A9D62}"/>
              </a:ext>
            </a:extLst>
          </xdr:cNvPr>
          <xdr:cNvGrpSpPr/>
        </xdr:nvGrpSpPr>
        <xdr:grpSpPr>
          <a:xfrm>
            <a:off x="4810255" y="899483"/>
            <a:ext cx="4474527" cy="3144786"/>
            <a:chOff x="4875213" y="876623"/>
            <a:chExt cx="4474527" cy="3144786"/>
          </a:xfrm>
        </xdr:grpSpPr>
        <xdr:grpSp>
          <xdr:nvGrpSpPr>
            <xdr:cNvPr id="29" name="Agrupa 28">
              <a:extLst>
                <a:ext uri="{FF2B5EF4-FFF2-40B4-BE49-F238E27FC236}">
                  <a16:creationId xmlns:a16="http://schemas.microsoft.com/office/drawing/2014/main" id="{4E994AC7-5785-94DB-D142-CFF6D979E92C}"/>
                </a:ext>
              </a:extLst>
            </xdr:cNvPr>
            <xdr:cNvGrpSpPr/>
          </xdr:nvGrpSpPr>
          <xdr:grpSpPr>
            <a:xfrm>
              <a:off x="4875213" y="876623"/>
              <a:ext cx="4474527" cy="3144786"/>
              <a:chOff x="4760913" y="876623"/>
              <a:chExt cx="4474527" cy="3144786"/>
            </a:xfrm>
          </xdr:grpSpPr>
          <xdr:pic>
            <xdr:nvPicPr>
              <xdr:cNvPr id="35" name="Picture 2" descr="El mejor circuito de agua para refrigerar el serpentín del alambique ...">
                <a:extLst>
                  <a:ext uri="{FF2B5EF4-FFF2-40B4-BE49-F238E27FC236}">
                    <a16:creationId xmlns:a16="http://schemas.microsoft.com/office/drawing/2014/main" id="{38F4D3D5-8C9B-CD8B-C349-EDBC17D220EF}"/>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760913" y="876623"/>
                <a:ext cx="4474527" cy="3144786"/>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6" name="Oval 35">
                <a:extLst>
                  <a:ext uri="{FF2B5EF4-FFF2-40B4-BE49-F238E27FC236}">
                    <a16:creationId xmlns:a16="http://schemas.microsoft.com/office/drawing/2014/main" id="{6A080438-930A-95EB-8D04-4327F4DC4CF3}"/>
                  </a:ext>
                </a:extLst>
              </xdr:cNvPr>
              <xdr:cNvSpPr/>
            </xdr:nvSpPr>
            <xdr:spPr>
              <a:xfrm>
                <a:off x="7783754" y="1767850"/>
                <a:ext cx="278206" cy="278370"/>
              </a:xfrm>
              <a:prstGeom prst="ellipse">
                <a:avLst/>
              </a:prstGeom>
              <a:solidFill>
                <a:srgbClr val="C00000"/>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E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ca-ES" b="1"/>
                  <a:t>4</a:t>
                </a:r>
              </a:p>
            </xdr:txBody>
          </xdr:sp>
          <xdr:sp macro="" textlink="">
            <xdr:nvSpPr>
              <xdr:cNvPr id="37" name="Oval 36">
                <a:extLst>
                  <a:ext uri="{FF2B5EF4-FFF2-40B4-BE49-F238E27FC236}">
                    <a16:creationId xmlns:a16="http://schemas.microsoft.com/office/drawing/2014/main" id="{88E6931C-BCDF-EAD2-058E-DFA105CA8CF1}"/>
                  </a:ext>
                </a:extLst>
              </xdr:cNvPr>
              <xdr:cNvSpPr/>
            </xdr:nvSpPr>
            <xdr:spPr>
              <a:xfrm>
                <a:off x="6699053" y="2011690"/>
                <a:ext cx="278206" cy="278370"/>
              </a:xfrm>
              <a:prstGeom prst="ellipse">
                <a:avLst/>
              </a:prstGeom>
              <a:solidFill>
                <a:srgbClr val="C00000"/>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E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ca-ES" b="1"/>
                  <a:t>3</a:t>
                </a:r>
              </a:p>
            </xdr:txBody>
          </xdr:sp>
          <xdr:sp macro="" textlink="">
            <xdr:nvSpPr>
              <xdr:cNvPr id="38" name="Oval 37">
                <a:extLst>
                  <a:ext uri="{FF2B5EF4-FFF2-40B4-BE49-F238E27FC236}">
                    <a16:creationId xmlns:a16="http://schemas.microsoft.com/office/drawing/2014/main" id="{C7348292-7D3C-EFE1-0DD9-797B329479DD}"/>
                  </a:ext>
                </a:extLst>
              </xdr:cNvPr>
              <xdr:cNvSpPr/>
            </xdr:nvSpPr>
            <xdr:spPr>
              <a:xfrm>
                <a:off x="8400222" y="1368339"/>
                <a:ext cx="278206" cy="278370"/>
              </a:xfrm>
              <a:prstGeom prst="ellipse">
                <a:avLst/>
              </a:prstGeom>
              <a:solidFill>
                <a:srgbClr val="C00000"/>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E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ca-ES" b="1"/>
                  <a:t>2</a:t>
                </a:r>
              </a:p>
            </xdr:txBody>
          </xdr:sp>
          <xdr:sp macro="" textlink="">
            <xdr:nvSpPr>
              <xdr:cNvPr id="39" name="Oval 38">
                <a:extLst>
                  <a:ext uri="{FF2B5EF4-FFF2-40B4-BE49-F238E27FC236}">
                    <a16:creationId xmlns:a16="http://schemas.microsoft.com/office/drawing/2014/main" id="{C6DD8246-7771-7FDC-A13B-40BBD11EAF42}"/>
                  </a:ext>
                </a:extLst>
              </xdr:cNvPr>
              <xdr:cNvSpPr/>
            </xdr:nvSpPr>
            <xdr:spPr>
              <a:xfrm>
                <a:off x="5497754" y="2325071"/>
                <a:ext cx="278206" cy="278370"/>
              </a:xfrm>
              <a:prstGeom prst="ellipse">
                <a:avLst/>
              </a:prstGeom>
              <a:solidFill>
                <a:srgbClr val="C00000"/>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E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ca-ES" b="1"/>
                  <a:t>1</a:t>
                </a:r>
              </a:p>
            </xdr:txBody>
          </xdr:sp>
          <xdr:sp macro="" textlink="">
            <xdr:nvSpPr>
              <xdr:cNvPr id="40" name="Oval 39">
                <a:extLst>
                  <a:ext uri="{FF2B5EF4-FFF2-40B4-BE49-F238E27FC236}">
                    <a16:creationId xmlns:a16="http://schemas.microsoft.com/office/drawing/2014/main" id="{BE2A0186-E74A-9598-DEF6-31CD89FE220F}"/>
                  </a:ext>
                </a:extLst>
              </xdr:cNvPr>
              <xdr:cNvSpPr/>
            </xdr:nvSpPr>
            <xdr:spPr>
              <a:xfrm>
                <a:off x="8400222" y="2789891"/>
                <a:ext cx="278206" cy="278370"/>
              </a:xfrm>
              <a:prstGeom prst="ellipse">
                <a:avLst/>
              </a:prstGeom>
              <a:solidFill>
                <a:srgbClr val="C00000"/>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E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ca-ES" b="1"/>
                  <a:t>5</a:t>
                </a:r>
              </a:p>
            </xdr:txBody>
          </xdr:sp>
        </xdr:grpSp>
        <xdr:grpSp>
          <xdr:nvGrpSpPr>
            <xdr:cNvPr id="30" name="Agrupa 29">
              <a:extLst>
                <a:ext uri="{FF2B5EF4-FFF2-40B4-BE49-F238E27FC236}">
                  <a16:creationId xmlns:a16="http://schemas.microsoft.com/office/drawing/2014/main" id="{1E8BA8A8-FF12-6921-5E30-9BE0872421DB}"/>
                </a:ext>
              </a:extLst>
            </xdr:cNvPr>
            <xdr:cNvGrpSpPr/>
          </xdr:nvGrpSpPr>
          <xdr:grpSpPr>
            <a:xfrm>
              <a:off x="7437119" y="1552107"/>
              <a:ext cx="383230" cy="309259"/>
              <a:chOff x="7147559" y="968627"/>
              <a:chExt cx="383230" cy="309259"/>
            </a:xfrm>
          </xdr:grpSpPr>
          <xdr:sp macro="" textlink="">
            <xdr:nvSpPr>
              <xdr:cNvPr id="32" name="Triangle isòsceles 31">
                <a:extLst>
                  <a:ext uri="{FF2B5EF4-FFF2-40B4-BE49-F238E27FC236}">
                    <a16:creationId xmlns:a16="http://schemas.microsoft.com/office/drawing/2014/main" id="{E1BFDD9F-C44D-3200-E5FF-9F39A39E68FF}"/>
                  </a:ext>
                </a:extLst>
              </xdr:cNvPr>
              <xdr:cNvSpPr/>
            </xdr:nvSpPr>
            <xdr:spPr>
              <a:xfrm>
                <a:off x="7223760" y="1063229"/>
                <a:ext cx="236220" cy="214657"/>
              </a:xfrm>
              <a:prstGeom prst="triangle">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s-E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ca-ES"/>
              </a:p>
            </xdr:txBody>
          </xdr:sp>
          <xdr:sp macro="" textlink="">
            <xdr:nvSpPr>
              <xdr:cNvPr id="33" name="Triangle isòsceles 32">
                <a:extLst>
                  <a:ext uri="{FF2B5EF4-FFF2-40B4-BE49-F238E27FC236}">
                    <a16:creationId xmlns:a16="http://schemas.microsoft.com/office/drawing/2014/main" id="{F5715538-FF8C-4659-AC50-573130556F7F}"/>
                  </a:ext>
                </a:extLst>
              </xdr:cNvPr>
              <xdr:cNvSpPr/>
            </xdr:nvSpPr>
            <xdr:spPr>
              <a:xfrm rot="16200000">
                <a:off x="7305351" y="979408"/>
                <a:ext cx="236220" cy="214657"/>
              </a:xfrm>
              <a:prstGeom prst="triangle">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s-E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ca-ES"/>
              </a:p>
            </xdr:txBody>
          </xdr:sp>
          <xdr:sp macro="" textlink="">
            <xdr:nvSpPr>
              <xdr:cNvPr id="34" name="Triangle isòsceles 33">
                <a:extLst>
                  <a:ext uri="{FF2B5EF4-FFF2-40B4-BE49-F238E27FC236}">
                    <a16:creationId xmlns:a16="http://schemas.microsoft.com/office/drawing/2014/main" id="{E4A02F3A-236F-FE01-C105-2BB5A49E9AB8}"/>
                  </a:ext>
                </a:extLst>
              </xdr:cNvPr>
              <xdr:cNvSpPr/>
            </xdr:nvSpPr>
            <xdr:spPr>
              <a:xfrm rot="5400000" flipH="1">
                <a:off x="7136778" y="979408"/>
                <a:ext cx="236220" cy="214657"/>
              </a:xfrm>
              <a:prstGeom prst="triangle">
                <a:avLst/>
              </a:prstGeom>
              <a:solidFill>
                <a:schemeClr val="accent2"/>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s-E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ca-ES"/>
              </a:p>
            </xdr:txBody>
          </xdr:sp>
        </xdr:grpSp>
        <xdr:cxnSp macro="">
          <xdr:nvCxnSpPr>
            <xdr:cNvPr id="31" name="Connector recte 30">
              <a:extLst>
                <a:ext uri="{FF2B5EF4-FFF2-40B4-BE49-F238E27FC236}">
                  <a16:creationId xmlns:a16="http://schemas.microsoft.com/office/drawing/2014/main" id="{AC88C153-6E1C-A41F-FEF0-1E3A623DC7D2}"/>
                </a:ext>
              </a:extLst>
            </xdr:cNvPr>
            <xdr:cNvCxnSpPr>
              <a:cxnSpLocks/>
            </xdr:cNvCxnSpPr>
          </xdr:nvCxnSpPr>
          <xdr:spPr>
            <a:xfrm>
              <a:off x="7627620" y="1851660"/>
              <a:ext cx="0" cy="845820"/>
            </a:xfrm>
            <a:prstGeom prst="line">
              <a:avLst/>
            </a:prstGeom>
            <a:ln w="38100">
              <a:solidFill>
                <a:srgbClr val="00B0F0"/>
              </a:solidFill>
              <a:headEnd type="arrow" w="med" len="med"/>
              <a:tailEnd type="none" w="med" len="med"/>
            </a:ln>
          </xdr:spPr>
          <xdr:style>
            <a:lnRef idx="2">
              <a:schemeClr val="accent1"/>
            </a:lnRef>
            <a:fillRef idx="0">
              <a:schemeClr val="accent1"/>
            </a:fillRef>
            <a:effectRef idx="1">
              <a:schemeClr val="accent1"/>
            </a:effectRef>
            <a:fontRef idx="minor">
              <a:schemeClr val="tx1"/>
            </a:fontRef>
          </xdr:style>
        </xdr:cxnSp>
      </xdr:grpSp>
      <xdr:sp macro="" textlink="">
        <xdr:nvSpPr>
          <xdr:cNvPr id="28" name="Oval 27">
            <a:extLst>
              <a:ext uri="{FF2B5EF4-FFF2-40B4-BE49-F238E27FC236}">
                <a16:creationId xmlns:a16="http://schemas.microsoft.com/office/drawing/2014/main" id="{D4D9D939-ACA1-661E-C917-CDFC55DB7C70}"/>
              </a:ext>
            </a:extLst>
          </xdr:cNvPr>
          <xdr:cNvSpPr/>
        </xdr:nvSpPr>
        <xdr:spPr>
          <a:xfrm>
            <a:off x="7338648" y="2979005"/>
            <a:ext cx="278206" cy="278370"/>
          </a:xfrm>
          <a:prstGeom prst="ellipse">
            <a:avLst/>
          </a:prstGeom>
          <a:solidFill>
            <a:srgbClr val="C00000"/>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s-E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ca-ES" b="1"/>
              <a:t>6</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99060</xdr:colOff>
      <xdr:row>39</xdr:row>
      <xdr:rowOff>38100</xdr:rowOff>
    </xdr:from>
    <xdr:to>
      <xdr:col>3</xdr:col>
      <xdr:colOff>476250</xdr:colOff>
      <xdr:row>40</xdr:row>
      <xdr:rowOff>53340</xdr:rowOff>
    </xdr:to>
    <xdr:pic>
      <xdr:nvPicPr>
        <xdr:cNvPr id="6" name="Gràfic 5" descr="Hill scene outline">
          <a:extLst>
            <a:ext uri="{FF2B5EF4-FFF2-40B4-BE49-F238E27FC236}">
              <a16:creationId xmlns:a16="http://schemas.microsoft.com/office/drawing/2014/main" id="{CADFD03E-6E4A-4650-95D5-2629C741514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278380" y="7421880"/>
          <a:ext cx="381000" cy="381000"/>
        </a:xfrm>
        <a:prstGeom prst="rect">
          <a:avLst/>
        </a:prstGeom>
      </xdr:spPr>
    </xdr:pic>
    <xdr:clientData/>
  </xdr:twoCellAnchor>
  <xdr:twoCellAnchor editAs="oneCell">
    <xdr:from>
      <xdr:col>5</xdr:col>
      <xdr:colOff>449580</xdr:colOff>
      <xdr:row>39</xdr:row>
      <xdr:rowOff>0</xdr:rowOff>
    </xdr:from>
    <xdr:to>
      <xdr:col>6</xdr:col>
      <xdr:colOff>247650</xdr:colOff>
      <xdr:row>40</xdr:row>
      <xdr:rowOff>38100</xdr:rowOff>
    </xdr:to>
    <xdr:pic>
      <xdr:nvPicPr>
        <xdr:cNvPr id="7" name="Gràfic 6" descr="Hill scene outline">
          <a:extLst>
            <a:ext uri="{FF2B5EF4-FFF2-40B4-BE49-F238E27FC236}">
              <a16:creationId xmlns:a16="http://schemas.microsoft.com/office/drawing/2014/main" id="{0D514F2D-9D68-473C-922C-3E1E30740FB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848100" y="7383780"/>
          <a:ext cx="411480" cy="411480"/>
        </a:xfrm>
        <a:prstGeom prst="rect">
          <a:avLst/>
        </a:prstGeom>
      </xdr:spPr>
    </xdr:pic>
    <xdr:clientData/>
  </xdr:twoCellAnchor>
  <xdr:twoCellAnchor editAs="oneCell">
    <xdr:from>
      <xdr:col>7</xdr:col>
      <xdr:colOff>457200</xdr:colOff>
      <xdr:row>39</xdr:row>
      <xdr:rowOff>30480</xdr:rowOff>
    </xdr:from>
    <xdr:to>
      <xdr:col>8</xdr:col>
      <xdr:colOff>171450</xdr:colOff>
      <xdr:row>39</xdr:row>
      <xdr:rowOff>363855</xdr:rowOff>
    </xdr:to>
    <xdr:pic>
      <xdr:nvPicPr>
        <xdr:cNvPr id="8" name="Gràfic 7" descr="Home outline">
          <a:extLst>
            <a:ext uri="{FF2B5EF4-FFF2-40B4-BE49-F238E27FC236}">
              <a16:creationId xmlns:a16="http://schemas.microsoft.com/office/drawing/2014/main" id="{87446518-28F2-46EF-B0C1-1CEC9B05CFD9}"/>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265420" y="6682740"/>
          <a:ext cx="327660" cy="327660"/>
        </a:xfrm>
        <a:prstGeom prst="rect">
          <a:avLst/>
        </a:prstGeom>
      </xdr:spPr>
    </xdr:pic>
    <xdr:clientData/>
  </xdr:twoCellAnchor>
  <xdr:twoCellAnchor editAs="oneCell">
    <xdr:from>
      <xdr:col>4</xdr:col>
      <xdr:colOff>160020</xdr:colOff>
      <xdr:row>39</xdr:row>
      <xdr:rowOff>22860</xdr:rowOff>
    </xdr:from>
    <xdr:to>
      <xdr:col>4</xdr:col>
      <xdr:colOff>474345</xdr:colOff>
      <xdr:row>39</xdr:row>
      <xdr:rowOff>360045</xdr:rowOff>
    </xdr:to>
    <xdr:pic>
      <xdr:nvPicPr>
        <xdr:cNvPr id="9" name="Gràfic 8" descr="Home outline">
          <a:extLst>
            <a:ext uri="{FF2B5EF4-FFF2-40B4-BE49-F238E27FC236}">
              <a16:creationId xmlns:a16="http://schemas.microsoft.com/office/drawing/2014/main" id="{9BB2D808-6536-4865-8224-A0D28C30F6C9}"/>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948940" y="7406640"/>
          <a:ext cx="327660" cy="327660"/>
        </a:xfrm>
        <a:prstGeom prst="rect">
          <a:avLst/>
        </a:prstGeom>
      </xdr:spPr>
    </xdr:pic>
    <xdr:clientData/>
  </xdr:twoCellAnchor>
  <xdr:oneCellAnchor>
    <xdr:from>
      <xdr:col>14</xdr:col>
      <xdr:colOff>99060</xdr:colOff>
      <xdr:row>39</xdr:row>
      <xdr:rowOff>38100</xdr:rowOff>
    </xdr:from>
    <xdr:ext cx="381000" cy="384138"/>
    <xdr:pic>
      <xdr:nvPicPr>
        <xdr:cNvPr id="35" name="Gràfic 34" descr="Hill scene outline">
          <a:extLst>
            <a:ext uri="{FF2B5EF4-FFF2-40B4-BE49-F238E27FC236}">
              <a16:creationId xmlns:a16="http://schemas.microsoft.com/office/drawing/2014/main" id="{EB00740E-4B62-4FCA-9505-2B6468D7377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277484" y="7129182"/>
          <a:ext cx="381000" cy="384138"/>
        </a:xfrm>
        <a:prstGeom prst="rect">
          <a:avLst/>
        </a:prstGeom>
      </xdr:spPr>
    </xdr:pic>
    <xdr:clientData/>
  </xdr:oneCellAnchor>
  <xdr:oneCellAnchor>
    <xdr:from>
      <xdr:col>16</xdr:col>
      <xdr:colOff>449580</xdr:colOff>
      <xdr:row>39</xdr:row>
      <xdr:rowOff>0</xdr:rowOff>
    </xdr:from>
    <xdr:ext cx="411480" cy="414618"/>
    <xdr:pic>
      <xdr:nvPicPr>
        <xdr:cNvPr id="36" name="Gràfic 35" descr="Hill scene outline">
          <a:extLst>
            <a:ext uri="{FF2B5EF4-FFF2-40B4-BE49-F238E27FC236}">
              <a16:creationId xmlns:a16="http://schemas.microsoft.com/office/drawing/2014/main" id="{F2F07EEA-4C81-411C-9AB2-EB2C8E6471A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847204" y="7091082"/>
          <a:ext cx="411480" cy="414618"/>
        </a:xfrm>
        <a:prstGeom prst="rect">
          <a:avLst/>
        </a:prstGeom>
      </xdr:spPr>
    </xdr:pic>
    <xdr:clientData/>
  </xdr:oneCellAnchor>
  <xdr:oneCellAnchor>
    <xdr:from>
      <xdr:col>18</xdr:col>
      <xdr:colOff>457200</xdr:colOff>
      <xdr:row>39</xdr:row>
      <xdr:rowOff>30480</xdr:rowOff>
    </xdr:from>
    <xdr:ext cx="327660" cy="327660"/>
    <xdr:pic>
      <xdr:nvPicPr>
        <xdr:cNvPr id="37" name="Gràfic 36" descr="Home outline">
          <a:extLst>
            <a:ext uri="{FF2B5EF4-FFF2-40B4-BE49-F238E27FC236}">
              <a16:creationId xmlns:a16="http://schemas.microsoft.com/office/drawing/2014/main" id="{46FD9AEA-22D9-40B4-BEC5-73A87D64677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262282" y="7121562"/>
          <a:ext cx="327660" cy="327660"/>
        </a:xfrm>
        <a:prstGeom prst="rect">
          <a:avLst/>
        </a:prstGeom>
      </xdr:spPr>
    </xdr:pic>
    <xdr:clientData/>
  </xdr:oneCellAnchor>
  <xdr:oneCellAnchor>
    <xdr:from>
      <xdr:col>15</xdr:col>
      <xdr:colOff>160020</xdr:colOff>
      <xdr:row>39</xdr:row>
      <xdr:rowOff>22860</xdr:rowOff>
    </xdr:from>
    <xdr:ext cx="327660" cy="327660"/>
    <xdr:pic>
      <xdr:nvPicPr>
        <xdr:cNvPr id="38" name="Gràfic 37" descr="Home outline">
          <a:extLst>
            <a:ext uri="{FF2B5EF4-FFF2-40B4-BE49-F238E27FC236}">
              <a16:creationId xmlns:a16="http://schemas.microsoft.com/office/drawing/2014/main" id="{223A228C-614B-46CA-A638-6BD72DF7F54E}"/>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948044" y="7113942"/>
          <a:ext cx="327660" cy="327660"/>
        </a:xfrm>
        <a:prstGeom prst="rect">
          <a:avLst/>
        </a:prstGeom>
      </xdr:spPr>
    </xdr:pic>
    <xdr:clientData/>
  </xdr:oneCellAnchor>
  <xdr:oneCellAnchor>
    <xdr:from>
      <xdr:col>25</xdr:col>
      <xdr:colOff>99060</xdr:colOff>
      <xdr:row>39</xdr:row>
      <xdr:rowOff>38100</xdr:rowOff>
    </xdr:from>
    <xdr:ext cx="381000" cy="384138"/>
    <xdr:pic>
      <xdr:nvPicPr>
        <xdr:cNvPr id="41" name="Gràfic 40" descr="Hill scene outline">
          <a:extLst>
            <a:ext uri="{FF2B5EF4-FFF2-40B4-BE49-F238E27FC236}">
              <a16:creationId xmlns:a16="http://schemas.microsoft.com/office/drawing/2014/main" id="{BE1CBD2D-974B-4120-9E32-D9245BF1AC2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377531" y="7129182"/>
          <a:ext cx="381000" cy="384138"/>
        </a:xfrm>
        <a:prstGeom prst="rect">
          <a:avLst/>
        </a:prstGeom>
      </xdr:spPr>
    </xdr:pic>
    <xdr:clientData/>
  </xdr:oneCellAnchor>
  <xdr:oneCellAnchor>
    <xdr:from>
      <xdr:col>27</xdr:col>
      <xdr:colOff>449580</xdr:colOff>
      <xdr:row>39</xdr:row>
      <xdr:rowOff>0</xdr:rowOff>
    </xdr:from>
    <xdr:ext cx="411480" cy="414618"/>
    <xdr:pic>
      <xdr:nvPicPr>
        <xdr:cNvPr id="42" name="Gràfic 41" descr="Hill scene outline">
          <a:extLst>
            <a:ext uri="{FF2B5EF4-FFF2-40B4-BE49-F238E27FC236}">
              <a16:creationId xmlns:a16="http://schemas.microsoft.com/office/drawing/2014/main" id="{6DBFEF3F-E745-4043-8531-09AF670A2BA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947251" y="7091082"/>
          <a:ext cx="411480" cy="414618"/>
        </a:xfrm>
        <a:prstGeom prst="rect">
          <a:avLst/>
        </a:prstGeom>
      </xdr:spPr>
    </xdr:pic>
    <xdr:clientData/>
  </xdr:oneCellAnchor>
  <xdr:oneCellAnchor>
    <xdr:from>
      <xdr:col>29</xdr:col>
      <xdr:colOff>457200</xdr:colOff>
      <xdr:row>39</xdr:row>
      <xdr:rowOff>30480</xdr:rowOff>
    </xdr:from>
    <xdr:ext cx="327660" cy="327660"/>
    <xdr:pic>
      <xdr:nvPicPr>
        <xdr:cNvPr id="43" name="Gràfic 42" descr="Home outline">
          <a:extLst>
            <a:ext uri="{FF2B5EF4-FFF2-40B4-BE49-F238E27FC236}">
              <a16:creationId xmlns:a16="http://schemas.microsoft.com/office/drawing/2014/main" id="{7C198443-02B3-475F-A718-620BA859A46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2362329" y="7121562"/>
          <a:ext cx="327660" cy="327660"/>
        </a:xfrm>
        <a:prstGeom prst="rect">
          <a:avLst/>
        </a:prstGeom>
      </xdr:spPr>
    </xdr:pic>
    <xdr:clientData/>
  </xdr:oneCellAnchor>
  <xdr:oneCellAnchor>
    <xdr:from>
      <xdr:col>26</xdr:col>
      <xdr:colOff>160020</xdr:colOff>
      <xdr:row>39</xdr:row>
      <xdr:rowOff>22860</xdr:rowOff>
    </xdr:from>
    <xdr:ext cx="327660" cy="327660"/>
    <xdr:pic>
      <xdr:nvPicPr>
        <xdr:cNvPr id="44" name="Gràfic 43" descr="Home outline">
          <a:extLst>
            <a:ext uri="{FF2B5EF4-FFF2-40B4-BE49-F238E27FC236}">
              <a16:creationId xmlns:a16="http://schemas.microsoft.com/office/drawing/2014/main" id="{72C49ECF-11C8-41AF-9C5C-17EC9322343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048091" y="7113942"/>
          <a:ext cx="327660" cy="32766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68468</xdr:colOff>
      <xdr:row>5</xdr:row>
      <xdr:rowOff>13781</xdr:rowOff>
    </xdr:from>
    <xdr:to>
      <xdr:col>12</xdr:col>
      <xdr:colOff>402066</xdr:colOff>
      <xdr:row>23</xdr:row>
      <xdr:rowOff>172904</xdr:rowOff>
    </xdr:to>
    <xdr:graphicFrame macro="">
      <xdr:nvGraphicFramePr>
        <xdr:cNvPr id="2" name="Gràfic 1">
          <a:extLst>
            <a:ext uri="{FF2B5EF4-FFF2-40B4-BE49-F238E27FC236}">
              <a16:creationId xmlns:a16="http://schemas.microsoft.com/office/drawing/2014/main" id="{39D209F8-6315-CD7D-54C6-B0B6AEC1E4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389481</xdr:colOff>
      <xdr:row>26</xdr:row>
      <xdr:rowOff>147413</xdr:rowOff>
    </xdr:from>
    <xdr:to>
      <xdr:col>18</xdr:col>
      <xdr:colOff>69812</xdr:colOff>
      <xdr:row>48</xdr:row>
      <xdr:rowOff>57599</xdr:rowOff>
    </xdr:to>
    <xdr:graphicFrame macro="">
      <xdr:nvGraphicFramePr>
        <xdr:cNvPr id="3" name="Gràfic 2">
          <a:extLst>
            <a:ext uri="{FF2B5EF4-FFF2-40B4-BE49-F238E27FC236}">
              <a16:creationId xmlns:a16="http://schemas.microsoft.com/office/drawing/2014/main" id="{929522E4-AD2F-30FA-4D7A-E68BE04F2D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76760</xdr:colOff>
      <xdr:row>5</xdr:row>
      <xdr:rowOff>85501</xdr:rowOff>
    </xdr:from>
    <xdr:to>
      <xdr:col>18</xdr:col>
      <xdr:colOff>55805</xdr:colOff>
      <xdr:row>24</xdr:row>
      <xdr:rowOff>22300</xdr:rowOff>
    </xdr:to>
    <xdr:graphicFrame macro="">
      <xdr:nvGraphicFramePr>
        <xdr:cNvPr id="5" name="Gràfic 4">
          <a:extLst>
            <a:ext uri="{FF2B5EF4-FFF2-40B4-BE49-F238E27FC236}">
              <a16:creationId xmlns:a16="http://schemas.microsoft.com/office/drawing/2014/main" id="{DF74C597-43FC-DE5C-BE30-7CFB2A447F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95139</xdr:colOff>
      <xdr:row>69</xdr:row>
      <xdr:rowOff>59841</xdr:rowOff>
    </xdr:from>
    <xdr:to>
      <xdr:col>6</xdr:col>
      <xdr:colOff>554580</xdr:colOff>
      <xdr:row>92</xdr:row>
      <xdr:rowOff>17481</xdr:rowOff>
    </xdr:to>
    <xdr:graphicFrame macro="">
      <xdr:nvGraphicFramePr>
        <xdr:cNvPr id="4" name="Gràfic 3">
          <a:extLst>
            <a:ext uri="{FF2B5EF4-FFF2-40B4-BE49-F238E27FC236}">
              <a16:creationId xmlns:a16="http://schemas.microsoft.com/office/drawing/2014/main" id="{FA1859B2-D350-C673-0EE8-B7AF4D9C3AB4}"/>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6</xdr:col>
      <xdr:colOff>603212</xdr:colOff>
      <xdr:row>69</xdr:row>
      <xdr:rowOff>56029</xdr:rowOff>
    </xdr:from>
    <xdr:to>
      <xdr:col>12</xdr:col>
      <xdr:colOff>207421</xdr:colOff>
      <xdr:row>92</xdr:row>
      <xdr:rowOff>21961</xdr:rowOff>
    </xdr:to>
    <xdr:graphicFrame macro="">
      <xdr:nvGraphicFramePr>
        <xdr:cNvPr id="12" name="Gràfic 11">
          <a:extLst>
            <a:ext uri="{FF2B5EF4-FFF2-40B4-BE49-F238E27FC236}">
              <a16:creationId xmlns:a16="http://schemas.microsoft.com/office/drawing/2014/main" id="{A201B37A-2DB0-4E0E-94AC-A7AFA0EE9ED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12</xdr:col>
      <xdr:colOff>255830</xdr:colOff>
      <xdr:row>69</xdr:row>
      <xdr:rowOff>59840</xdr:rowOff>
    </xdr:from>
    <xdr:to>
      <xdr:col>18</xdr:col>
      <xdr:colOff>211232</xdr:colOff>
      <xdr:row>92</xdr:row>
      <xdr:rowOff>22186</xdr:rowOff>
    </xdr:to>
    <xdr:graphicFrame macro="">
      <xdr:nvGraphicFramePr>
        <xdr:cNvPr id="7" name="Gràfic 6">
          <a:extLst>
            <a:ext uri="{FF2B5EF4-FFF2-40B4-BE49-F238E27FC236}">
              <a16:creationId xmlns:a16="http://schemas.microsoft.com/office/drawing/2014/main" id="{DEA98119-1741-244D-C0BC-1900BCFF5F9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34</xdr:col>
      <xdr:colOff>430531</xdr:colOff>
      <xdr:row>6</xdr:row>
      <xdr:rowOff>180975</xdr:rowOff>
    </xdr:from>
    <xdr:to>
      <xdr:col>40</xdr:col>
      <xdr:colOff>93346</xdr:colOff>
      <xdr:row>19</xdr:row>
      <xdr:rowOff>134340</xdr:rowOff>
    </xdr:to>
    <xdr:pic>
      <xdr:nvPicPr>
        <xdr:cNvPr id="2" name="Imatge 1">
          <a:extLst>
            <a:ext uri="{FF2B5EF4-FFF2-40B4-BE49-F238E27FC236}">
              <a16:creationId xmlns:a16="http://schemas.microsoft.com/office/drawing/2014/main" id="{791FFD4B-29BC-0D66-D5B5-E93E016D1DC9}"/>
            </a:ext>
          </a:extLst>
        </xdr:cNvPr>
        <xdr:cNvPicPr>
          <a:picLocks noChangeAspect="1"/>
        </xdr:cNvPicPr>
      </xdr:nvPicPr>
      <xdr:blipFill>
        <a:blip xmlns:r="http://schemas.openxmlformats.org/officeDocument/2006/relationships" r:embed="rId1"/>
        <a:stretch>
          <a:fillRect/>
        </a:stretch>
      </xdr:blipFill>
      <xdr:spPr>
        <a:xfrm>
          <a:off x="20328256" y="409575"/>
          <a:ext cx="3328035" cy="2736185"/>
        </a:xfrm>
        <a:prstGeom prst="rect">
          <a:avLst/>
        </a:prstGeom>
      </xdr:spPr>
    </xdr:pic>
    <xdr:clientData/>
  </xdr:twoCellAnchor>
  <xdr:twoCellAnchor editAs="oneCell">
    <xdr:from>
      <xdr:col>28</xdr:col>
      <xdr:colOff>230295</xdr:colOff>
      <xdr:row>6</xdr:row>
      <xdr:rowOff>103279</xdr:rowOff>
    </xdr:from>
    <xdr:to>
      <xdr:col>34</xdr:col>
      <xdr:colOff>324622</xdr:colOff>
      <xdr:row>19</xdr:row>
      <xdr:rowOff>53503</xdr:rowOff>
    </xdr:to>
    <xdr:pic>
      <xdr:nvPicPr>
        <xdr:cNvPr id="3" name="Imatge 2">
          <a:extLst>
            <a:ext uri="{FF2B5EF4-FFF2-40B4-BE49-F238E27FC236}">
              <a16:creationId xmlns:a16="http://schemas.microsoft.com/office/drawing/2014/main" id="{82CF3F20-8494-DF4D-50CD-62BA22296533}"/>
            </a:ext>
          </a:extLst>
        </xdr:cNvPr>
        <xdr:cNvPicPr>
          <a:picLocks noChangeAspect="1"/>
        </xdr:cNvPicPr>
      </xdr:nvPicPr>
      <xdr:blipFill>
        <a:blip xmlns:r="http://schemas.openxmlformats.org/officeDocument/2006/relationships" r:embed="rId2"/>
        <a:stretch>
          <a:fillRect/>
        </a:stretch>
      </xdr:blipFill>
      <xdr:spPr>
        <a:xfrm>
          <a:off x="16470420" y="331879"/>
          <a:ext cx="3740497" cy="2721837"/>
        </a:xfrm>
        <a:prstGeom prst="rect">
          <a:avLst/>
        </a:prstGeom>
      </xdr:spPr>
    </xdr:pic>
    <xdr:clientData/>
  </xdr:twoCellAnchor>
  <xdr:twoCellAnchor editAs="oneCell">
    <xdr:from>
      <xdr:col>40</xdr:col>
      <xdr:colOff>553977</xdr:colOff>
      <xdr:row>0</xdr:row>
      <xdr:rowOff>205194</xdr:rowOff>
    </xdr:from>
    <xdr:to>
      <xdr:col>50</xdr:col>
      <xdr:colOff>325062</xdr:colOff>
      <xdr:row>23</xdr:row>
      <xdr:rowOff>17491</xdr:rowOff>
    </xdr:to>
    <xdr:pic>
      <xdr:nvPicPr>
        <xdr:cNvPr id="4" name="Imatge 3">
          <a:extLst>
            <a:ext uri="{FF2B5EF4-FFF2-40B4-BE49-F238E27FC236}">
              <a16:creationId xmlns:a16="http://schemas.microsoft.com/office/drawing/2014/main" id="{CEBB2A37-7CBC-4085-556C-E2326919777D}"/>
            </a:ext>
          </a:extLst>
        </xdr:cNvPr>
        <xdr:cNvPicPr>
          <a:picLocks noChangeAspect="1"/>
        </xdr:cNvPicPr>
      </xdr:nvPicPr>
      <xdr:blipFill>
        <a:blip xmlns:r="http://schemas.openxmlformats.org/officeDocument/2006/relationships" r:embed="rId3"/>
        <a:stretch>
          <a:fillRect/>
        </a:stretch>
      </xdr:blipFill>
      <xdr:spPr>
        <a:xfrm>
          <a:off x="26687113" y="205194"/>
          <a:ext cx="5822924" cy="5098152"/>
        </a:xfrm>
        <a:prstGeom prst="rect">
          <a:avLst/>
        </a:prstGeom>
      </xdr:spPr>
    </xdr:pic>
    <xdr:clientData/>
  </xdr:twoCellAnchor>
  <xdr:twoCellAnchor editAs="oneCell">
    <xdr:from>
      <xdr:col>61</xdr:col>
      <xdr:colOff>342900</xdr:colOff>
      <xdr:row>0</xdr:row>
      <xdr:rowOff>0</xdr:rowOff>
    </xdr:from>
    <xdr:to>
      <xdr:col>72</xdr:col>
      <xdr:colOff>592829</xdr:colOff>
      <xdr:row>32</xdr:row>
      <xdr:rowOff>132386</xdr:rowOff>
    </xdr:to>
    <xdr:pic>
      <xdr:nvPicPr>
        <xdr:cNvPr id="5" name="Imatge 4">
          <a:extLst>
            <a:ext uri="{FF2B5EF4-FFF2-40B4-BE49-F238E27FC236}">
              <a16:creationId xmlns:a16="http://schemas.microsoft.com/office/drawing/2014/main" id="{C2C7AA5A-BE58-7715-1885-0F2082A805DE}"/>
            </a:ext>
          </a:extLst>
        </xdr:cNvPr>
        <xdr:cNvPicPr>
          <a:picLocks noChangeAspect="1"/>
        </xdr:cNvPicPr>
      </xdr:nvPicPr>
      <xdr:blipFill>
        <a:blip xmlns:r="http://schemas.openxmlformats.org/officeDocument/2006/relationships" r:embed="rId4"/>
        <a:stretch>
          <a:fillRect/>
        </a:stretch>
      </xdr:blipFill>
      <xdr:spPr>
        <a:xfrm>
          <a:off x="39395400" y="0"/>
          <a:ext cx="6951719" cy="7358500"/>
        </a:xfrm>
        <a:prstGeom prst="rect">
          <a:avLst/>
        </a:prstGeom>
      </xdr:spPr>
    </xdr:pic>
    <xdr:clientData/>
  </xdr:twoCellAnchor>
  <xdr:twoCellAnchor editAs="oneCell">
    <xdr:from>
      <xdr:col>50</xdr:col>
      <xdr:colOff>382601</xdr:colOff>
      <xdr:row>0</xdr:row>
      <xdr:rowOff>173844</xdr:rowOff>
    </xdr:from>
    <xdr:to>
      <xdr:col>61</xdr:col>
      <xdr:colOff>250739</xdr:colOff>
      <xdr:row>32</xdr:row>
      <xdr:rowOff>134694</xdr:rowOff>
    </xdr:to>
    <xdr:pic>
      <xdr:nvPicPr>
        <xdr:cNvPr id="6" name="Imatge 5">
          <a:extLst>
            <a:ext uri="{FF2B5EF4-FFF2-40B4-BE49-F238E27FC236}">
              <a16:creationId xmlns:a16="http://schemas.microsoft.com/office/drawing/2014/main" id="{F5111221-5A5F-A9ED-F465-92960AE88AD7}"/>
            </a:ext>
          </a:extLst>
        </xdr:cNvPr>
        <xdr:cNvPicPr>
          <a:picLocks noChangeAspect="1"/>
        </xdr:cNvPicPr>
      </xdr:nvPicPr>
      <xdr:blipFill>
        <a:blip xmlns:r="http://schemas.openxmlformats.org/officeDocument/2006/relationships" r:embed="rId5"/>
        <a:stretch>
          <a:fillRect/>
        </a:stretch>
      </xdr:blipFill>
      <xdr:spPr>
        <a:xfrm>
          <a:off x="32521072" y="173844"/>
          <a:ext cx="6535862" cy="69325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449580</xdr:colOff>
      <xdr:row>5</xdr:row>
      <xdr:rowOff>66675</xdr:rowOff>
    </xdr:from>
    <xdr:to>
      <xdr:col>3</xdr:col>
      <xdr:colOff>133350</xdr:colOff>
      <xdr:row>5</xdr:row>
      <xdr:rowOff>476250</xdr:rowOff>
    </xdr:to>
    <xdr:pic>
      <xdr:nvPicPr>
        <xdr:cNvPr id="7" name="Gràfic 6" descr="Hill scene outline">
          <a:extLst>
            <a:ext uri="{FF2B5EF4-FFF2-40B4-BE49-F238E27FC236}">
              <a16:creationId xmlns:a16="http://schemas.microsoft.com/office/drawing/2014/main" id="{7860F1E2-67F1-4048-91C3-5BA664F0C72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92680" y="990600"/>
          <a:ext cx="413385" cy="396240"/>
        </a:xfrm>
        <a:prstGeom prst="rect">
          <a:avLst/>
        </a:prstGeom>
      </xdr:spPr>
    </xdr:pic>
    <xdr:clientData/>
  </xdr:twoCellAnchor>
  <xdr:twoCellAnchor editAs="oneCell">
    <xdr:from>
      <xdr:col>4</xdr:col>
      <xdr:colOff>466725</xdr:colOff>
      <xdr:row>5</xdr:row>
      <xdr:rowOff>66675</xdr:rowOff>
    </xdr:from>
    <xdr:to>
      <xdr:col>5</xdr:col>
      <xdr:colOff>173355</xdr:colOff>
      <xdr:row>5</xdr:row>
      <xdr:rowOff>396240</xdr:rowOff>
    </xdr:to>
    <xdr:pic>
      <xdr:nvPicPr>
        <xdr:cNvPr id="8" name="Gràfic 7" descr="Home outline">
          <a:extLst>
            <a:ext uri="{FF2B5EF4-FFF2-40B4-BE49-F238E27FC236}">
              <a16:creationId xmlns:a16="http://schemas.microsoft.com/office/drawing/2014/main" id="{620F4E2B-CDE3-4C28-B4F2-DD7EEC325025}"/>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762375" y="990600"/>
          <a:ext cx="323850" cy="333375"/>
        </a:xfrm>
        <a:prstGeom prst="rect">
          <a:avLst/>
        </a:prstGeom>
      </xdr:spPr>
    </xdr:pic>
    <xdr:clientData/>
  </xdr:twoCellAnchor>
  <xdr:twoCellAnchor>
    <xdr:from>
      <xdr:col>10</xdr:col>
      <xdr:colOff>91440</xdr:colOff>
      <xdr:row>47</xdr:row>
      <xdr:rowOff>8741</xdr:rowOff>
    </xdr:from>
    <xdr:to>
      <xdr:col>21</xdr:col>
      <xdr:colOff>117145</xdr:colOff>
      <xdr:row>62</xdr:row>
      <xdr:rowOff>158766</xdr:rowOff>
    </xdr:to>
    <xdr:grpSp>
      <xdr:nvGrpSpPr>
        <xdr:cNvPr id="10" name="Agrupa 9">
          <a:extLst>
            <a:ext uri="{FF2B5EF4-FFF2-40B4-BE49-F238E27FC236}">
              <a16:creationId xmlns:a16="http://schemas.microsoft.com/office/drawing/2014/main" id="{BC9B61D1-A482-492B-9D3D-9C6C2F87FBA3}"/>
            </a:ext>
          </a:extLst>
        </xdr:cNvPr>
        <xdr:cNvGrpSpPr/>
      </xdr:nvGrpSpPr>
      <xdr:grpSpPr>
        <a:xfrm>
          <a:off x="7535956" y="9546852"/>
          <a:ext cx="6678189" cy="2985113"/>
          <a:chOff x="15057120" y="6743700"/>
          <a:chExt cx="6737020" cy="3032066"/>
        </a:xfrm>
      </xdr:grpSpPr>
      <xdr:pic>
        <xdr:nvPicPr>
          <xdr:cNvPr id="11" name="Imatge 10">
            <a:extLst>
              <a:ext uri="{FF2B5EF4-FFF2-40B4-BE49-F238E27FC236}">
                <a16:creationId xmlns:a16="http://schemas.microsoft.com/office/drawing/2014/main" id="{EFA9A670-DFE9-6E79-6B2D-2720CCF93576}"/>
              </a:ext>
            </a:extLst>
          </xdr:cNvPr>
          <xdr:cNvPicPr>
            <a:picLocks noChangeAspect="1"/>
          </xdr:cNvPicPr>
        </xdr:nvPicPr>
        <xdr:blipFill>
          <a:blip xmlns:r="http://schemas.openxmlformats.org/officeDocument/2006/relationships" r:embed="rId5"/>
          <a:stretch>
            <a:fillRect/>
          </a:stretch>
        </xdr:blipFill>
        <xdr:spPr>
          <a:xfrm>
            <a:off x="15084830" y="6808123"/>
            <a:ext cx="6709310" cy="2967643"/>
          </a:xfrm>
          <a:prstGeom prst="rect">
            <a:avLst/>
          </a:prstGeom>
        </xdr:spPr>
      </xdr:pic>
      <xdr:sp macro="" textlink="">
        <xdr:nvSpPr>
          <xdr:cNvPr id="12" name="QuadreDeText 11">
            <a:extLst>
              <a:ext uri="{FF2B5EF4-FFF2-40B4-BE49-F238E27FC236}">
                <a16:creationId xmlns:a16="http://schemas.microsoft.com/office/drawing/2014/main" id="{33824223-4ED9-EA8E-531D-6ABC4404C618}"/>
              </a:ext>
            </a:extLst>
          </xdr:cNvPr>
          <xdr:cNvSpPr txBox="1"/>
        </xdr:nvSpPr>
        <xdr:spPr>
          <a:xfrm>
            <a:off x="15057120" y="6743700"/>
            <a:ext cx="2727960" cy="365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a-ES" sz="1100" b="1"/>
              <a:t>Exemple interacumulador TARIFA 2022:</a:t>
            </a:r>
          </a:p>
        </xdr:txBody>
      </xdr:sp>
    </xdr:grpSp>
    <xdr:clientData/>
  </xdr:twoCellAnchor>
  <xdr:twoCellAnchor editAs="oneCell">
    <xdr:from>
      <xdr:col>10</xdr:col>
      <xdr:colOff>52667</xdr:colOff>
      <xdr:row>28</xdr:row>
      <xdr:rowOff>79898</xdr:rowOff>
    </xdr:from>
    <xdr:to>
      <xdr:col>20</xdr:col>
      <xdr:colOff>97948</xdr:colOff>
      <xdr:row>44</xdr:row>
      <xdr:rowOff>53413</xdr:rowOff>
    </xdr:to>
    <xdr:pic>
      <xdr:nvPicPr>
        <xdr:cNvPr id="13" name="Imatge 12">
          <a:extLst>
            <a:ext uri="{FF2B5EF4-FFF2-40B4-BE49-F238E27FC236}">
              <a16:creationId xmlns:a16="http://schemas.microsoft.com/office/drawing/2014/main" id="{BBB45EB4-6667-818B-4BA4-AD8C8DB2788B}"/>
            </a:ext>
          </a:extLst>
        </xdr:cNvPr>
        <xdr:cNvPicPr>
          <a:picLocks noChangeAspect="1"/>
        </xdr:cNvPicPr>
      </xdr:nvPicPr>
      <xdr:blipFill>
        <a:blip xmlns:r="http://schemas.openxmlformats.org/officeDocument/2006/relationships" r:embed="rId6"/>
        <a:stretch>
          <a:fillRect/>
        </a:stretch>
      </xdr:blipFill>
      <xdr:spPr>
        <a:xfrm>
          <a:off x="7493373" y="6063839"/>
          <a:ext cx="6088837" cy="2982183"/>
        </a:xfrm>
        <a:prstGeom prst="rect">
          <a:avLst/>
        </a:prstGeom>
      </xdr:spPr>
    </xdr:pic>
    <xdr:clientData/>
  </xdr:twoCellAnchor>
  <xdr:twoCellAnchor editAs="oneCell">
    <xdr:from>
      <xdr:col>20</xdr:col>
      <xdr:colOff>142589</xdr:colOff>
      <xdr:row>28</xdr:row>
      <xdr:rowOff>80906</xdr:rowOff>
    </xdr:from>
    <xdr:to>
      <xdr:col>25</xdr:col>
      <xdr:colOff>327436</xdr:colOff>
      <xdr:row>40</xdr:row>
      <xdr:rowOff>173069</xdr:rowOff>
    </xdr:to>
    <xdr:pic>
      <xdr:nvPicPr>
        <xdr:cNvPr id="14" name="Imatge 13">
          <a:extLst>
            <a:ext uri="{FF2B5EF4-FFF2-40B4-BE49-F238E27FC236}">
              <a16:creationId xmlns:a16="http://schemas.microsoft.com/office/drawing/2014/main" id="{8A5214B0-E030-0795-67B2-3EEA925723CB}"/>
            </a:ext>
          </a:extLst>
        </xdr:cNvPr>
        <xdr:cNvPicPr>
          <a:picLocks noChangeAspect="1"/>
        </xdr:cNvPicPr>
      </xdr:nvPicPr>
      <xdr:blipFill>
        <a:blip xmlns:r="http://schemas.openxmlformats.org/officeDocument/2006/relationships" r:embed="rId7"/>
        <a:stretch>
          <a:fillRect/>
        </a:stretch>
      </xdr:blipFill>
      <xdr:spPr>
        <a:xfrm>
          <a:off x="13634471" y="6064847"/>
          <a:ext cx="3216151" cy="2389369"/>
        </a:xfrm>
        <a:prstGeom prst="rect">
          <a:avLst/>
        </a:prstGeom>
      </xdr:spPr>
    </xdr:pic>
    <xdr:clientData/>
  </xdr:twoCellAnchor>
  <xdr:twoCellAnchor editAs="oneCell">
    <xdr:from>
      <xdr:col>25</xdr:col>
      <xdr:colOff>429859</xdr:colOff>
      <xdr:row>28</xdr:row>
      <xdr:rowOff>64994</xdr:rowOff>
    </xdr:from>
    <xdr:to>
      <xdr:col>30</xdr:col>
      <xdr:colOff>174101</xdr:colOff>
      <xdr:row>43</xdr:row>
      <xdr:rowOff>53564</xdr:rowOff>
    </xdr:to>
    <xdr:pic>
      <xdr:nvPicPr>
        <xdr:cNvPr id="15" name="Imatge 14">
          <a:extLst>
            <a:ext uri="{FF2B5EF4-FFF2-40B4-BE49-F238E27FC236}">
              <a16:creationId xmlns:a16="http://schemas.microsoft.com/office/drawing/2014/main" id="{8509F83C-BA8D-5764-8418-62545F04A9FD}"/>
            </a:ext>
          </a:extLst>
        </xdr:cNvPr>
        <xdr:cNvPicPr>
          <a:picLocks noChangeAspect="1"/>
        </xdr:cNvPicPr>
      </xdr:nvPicPr>
      <xdr:blipFill>
        <a:blip xmlns:r="http://schemas.openxmlformats.org/officeDocument/2006/relationships" r:embed="rId8"/>
        <a:stretch>
          <a:fillRect/>
        </a:stretch>
      </xdr:blipFill>
      <xdr:spPr>
        <a:xfrm>
          <a:off x="16947330" y="6048935"/>
          <a:ext cx="2769830" cy="2817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246530</xdr:colOff>
      <xdr:row>209</xdr:row>
      <xdr:rowOff>93234</xdr:rowOff>
    </xdr:from>
    <xdr:to>
      <xdr:col>24</xdr:col>
      <xdr:colOff>472754</xdr:colOff>
      <xdr:row>218</xdr:row>
      <xdr:rowOff>112059</xdr:rowOff>
    </xdr:to>
    <xdr:pic>
      <xdr:nvPicPr>
        <xdr:cNvPr id="2" name="Imatge 1">
          <a:extLst>
            <a:ext uri="{FF2B5EF4-FFF2-40B4-BE49-F238E27FC236}">
              <a16:creationId xmlns:a16="http://schemas.microsoft.com/office/drawing/2014/main" id="{D34D3912-2EEC-46DC-B5F7-7BFAD5DC482D}"/>
            </a:ext>
          </a:extLst>
        </xdr:cNvPr>
        <xdr:cNvPicPr>
          <a:picLocks noChangeAspect="1"/>
        </xdr:cNvPicPr>
      </xdr:nvPicPr>
      <xdr:blipFill rotWithShape="1">
        <a:blip xmlns:r="http://schemas.openxmlformats.org/officeDocument/2006/relationships" r:embed="rId1"/>
        <a:srcRect l="1583" r="2487" b="54982"/>
        <a:stretch>
          <a:fillRect/>
        </a:stretch>
      </xdr:blipFill>
      <xdr:spPr>
        <a:xfrm>
          <a:off x="9087971" y="40378381"/>
          <a:ext cx="6871088" cy="201347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50</xdr:col>
      <xdr:colOff>160693</xdr:colOff>
      <xdr:row>9</xdr:row>
      <xdr:rowOff>143772</xdr:rowOff>
    </xdr:from>
    <xdr:to>
      <xdr:col>53</xdr:col>
      <xdr:colOff>552899</xdr:colOff>
      <xdr:row>24</xdr:row>
      <xdr:rowOff>173692</xdr:rowOff>
    </xdr:to>
    <xdr:graphicFrame macro="">
      <xdr:nvGraphicFramePr>
        <xdr:cNvPr id="2" name="Gràfic 1">
          <a:extLst>
            <a:ext uri="{FF2B5EF4-FFF2-40B4-BE49-F238E27FC236}">
              <a16:creationId xmlns:a16="http://schemas.microsoft.com/office/drawing/2014/main" id="{89940A13-81A0-4CD1-85AC-FF29FCBA66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31</xdr:col>
      <xdr:colOff>134471</xdr:colOff>
      <xdr:row>10</xdr:row>
      <xdr:rowOff>33618</xdr:rowOff>
    </xdr:from>
    <xdr:to>
      <xdr:col>34</xdr:col>
      <xdr:colOff>590103</xdr:colOff>
      <xdr:row>25</xdr:row>
      <xdr:rowOff>96658</xdr:rowOff>
    </xdr:to>
    <xdr:graphicFrame macro="">
      <xdr:nvGraphicFramePr>
        <xdr:cNvPr id="3" name="Gràfic 2">
          <a:extLst>
            <a:ext uri="{FF2B5EF4-FFF2-40B4-BE49-F238E27FC236}">
              <a16:creationId xmlns:a16="http://schemas.microsoft.com/office/drawing/2014/main" id="{13F3EFE5-A311-40A9-BD6F-E4AE7D73E0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190501</xdr:colOff>
      <xdr:row>10</xdr:row>
      <xdr:rowOff>22412</xdr:rowOff>
    </xdr:from>
    <xdr:to>
      <xdr:col>15</xdr:col>
      <xdr:colOff>553124</xdr:colOff>
      <xdr:row>25</xdr:row>
      <xdr:rowOff>54573</xdr:rowOff>
    </xdr:to>
    <xdr:graphicFrame macro="">
      <xdr:nvGraphicFramePr>
        <xdr:cNvPr id="4" name="Gràfic 3">
          <a:extLst>
            <a:ext uri="{FF2B5EF4-FFF2-40B4-BE49-F238E27FC236}">
              <a16:creationId xmlns:a16="http://schemas.microsoft.com/office/drawing/2014/main" id="{9372ADFD-6E12-4F60-94BC-9895A0BDB1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oneCellAnchor>
    <xdr:from>
      <xdr:col>10</xdr:col>
      <xdr:colOff>313764</xdr:colOff>
      <xdr:row>3</xdr:row>
      <xdr:rowOff>3810</xdr:rowOff>
    </xdr:from>
    <xdr:ext cx="5907134" cy="5734553"/>
    <xdr:pic>
      <xdr:nvPicPr>
        <xdr:cNvPr id="3" name="Imatge 2">
          <a:extLst>
            <a:ext uri="{FF2B5EF4-FFF2-40B4-BE49-F238E27FC236}">
              <a16:creationId xmlns:a16="http://schemas.microsoft.com/office/drawing/2014/main" id="{A94CC800-2803-7DE0-3AAE-E263ED22F91E}"/>
            </a:ext>
          </a:extLst>
        </xdr:cNvPr>
        <xdr:cNvPicPr>
          <a:picLocks noChangeAspect="1"/>
        </xdr:cNvPicPr>
      </xdr:nvPicPr>
      <xdr:blipFill>
        <a:blip xmlns:r="http://schemas.openxmlformats.org/officeDocument/2006/relationships" r:embed="rId1"/>
        <a:stretch>
          <a:fillRect/>
        </a:stretch>
      </xdr:blipFill>
      <xdr:spPr>
        <a:xfrm>
          <a:off x="16226117" y="295163"/>
          <a:ext cx="5944337" cy="5688161"/>
        </a:xfrm>
        <a:prstGeom prst="rect">
          <a:avLst/>
        </a:prstGeom>
      </xdr:spPr>
    </xdr:pic>
    <xdr:clientData/>
  </xdr:oneCellAnchor>
  <xdr:oneCellAnchor>
    <xdr:from>
      <xdr:col>11</xdr:col>
      <xdr:colOff>11319</xdr:colOff>
      <xdr:row>34</xdr:row>
      <xdr:rowOff>133911</xdr:rowOff>
    </xdr:from>
    <xdr:ext cx="5902202" cy="4204255"/>
    <xdr:pic>
      <xdr:nvPicPr>
        <xdr:cNvPr id="4" name="Imatge 3">
          <a:extLst>
            <a:ext uri="{FF2B5EF4-FFF2-40B4-BE49-F238E27FC236}">
              <a16:creationId xmlns:a16="http://schemas.microsoft.com/office/drawing/2014/main" id="{FAF7C8BB-BB1B-089E-ACD5-F7422563ECB8}"/>
            </a:ext>
          </a:extLst>
        </xdr:cNvPr>
        <xdr:cNvPicPr>
          <a:picLocks noChangeAspect="1"/>
        </xdr:cNvPicPr>
      </xdr:nvPicPr>
      <xdr:blipFill>
        <a:blip xmlns:r="http://schemas.openxmlformats.org/officeDocument/2006/relationships" r:embed="rId2"/>
        <a:stretch>
          <a:fillRect/>
        </a:stretch>
      </xdr:blipFill>
      <xdr:spPr>
        <a:xfrm>
          <a:off x="8707644" y="6287061"/>
          <a:ext cx="5902202" cy="4204255"/>
        </a:xfrm>
        <a:prstGeom prst="rect">
          <a:avLst/>
        </a:prstGeom>
      </xdr:spPr>
    </xdr:pic>
    <xdr:clientData/>
  </xdr:oneCellAnchor>
  <xdr:oneCellAnchor>
    <xdr:from>
      <xdr:col>10</xdr:col>
      <xdr:colOff>743935</xdr:colOff>
      <xdr:row>58</xdr:row>
      <xdr:rowOff>16921</xdr:rowOff>
    </xdr:from>
    <xdr:ext cx="10053305" cy="3160731"/>
    <xdr:pic>
      <xdr:nvPicPr>
        <xdr:cNvPr id="6" name="Imatge 5">
          <a:extLst>
            <a:ext uri="{FF2B5EF4-FFF2-40B4-BE49-F238E27FC236}">
              <a16:creationId xmlns:a16="http://schemas.microsoft.com/office/drawing/2014/main" id="{8DD3881F-99EC-6EF6-1D16-6EBE3895A7B6}"/>
            </a:ext>
          </a:extLst>
        </xdr:cNvPr>
        <xdr:cNvPicPr>
          <a:picLocks noChangeAspect="1"/>
        </xdr:cNvPicPr>
      </xdr:nvPicPr>
      <xdr:blipFill>
        <a:blip xmlns:r="http://schemas.openxmlformats.org/officeDocument/2006/relationships" r:embed="rId3"/>
        <a:stretch>
          <a:fillRect/>
        </a:stretch>
      </xdr:blipFill>
      <xdr:spPr>
        <a:xfrm>
          <a:off x="8649685" y="10513471"/>
          <a:ext cx="10053305" cy="3160731"/>
        </a:xfrm>
        <a:prstGeom prst="rect">
          <a:avLst/>
        </a:prstGeom>
      </xdr:spPr>
    </xdr:pic>
    <xdr:clientData/>
  </xdr:oneCellAnchor>
  <xdr:oneCellAnchor>
    <xdr:from>
      <xdr:col>18</xdr:col>
      <xdr:colOff>126818</xdr:colOff>
      <xdr:row>4</xdr:row>
      <xdr:rowOff>43545</xdr:rowOff>
    </xdr:from>
    <xdr:ext cx="1301115" cy="2459365"/>
    <xdr:pic>
      <xdr:nvPicPr>
        <xdr:cNvPr id="7" name="Imatge 6">
          <a:extLst>
            <a:ext uri="{FF2B5EF4-FFF2-40B4-BE49-F238E27FC236}">
              <a16:creationId xmlns:a16="http://schemas.microsoft.com/office/drawing/2014/main" id="{44844186-B771-0EA1-1C1C-1B28169C7F9E}"/>
            </a:ext>
          </a:extLst>
        </xdr:cNvPr>
        <xdr:cNvPicPr>
          <a:picLocks noChangeAspect="1"/>
        </xdr:cNvPicPr>
      </xdr:nvPicPr>
      <xdr:blipFill>
        <a:blip xmlns:r="http://schemas.openxmlformats.org/officeDocument/2006/relationships" r:embed="rId4"/>
        <a:stretch>
          <a:fillRect/>
        </a:stretch>
      </xdr:blipFill>
      <xdr:spPr>
        <a:xfrm>
          <a:off x="14391458" y="775065"/>
          <a:ext cx="1301115" cy="2459365"/>
        </a:xfrm>
        <a:prstGeom prst="rect">
          <a:avLst/>
        </a:prstGeom>
      </xdr:spPr>
    </xdr:pic>
    <xdr:clientData/>
  </xdr:oneCellAnchor>
  <xdr:oneCellAnchor>
    <xdr:from>
      <xdr:col>11</xdr:col>
      <xdr:colOff>0</xdr:colOff>
      <xdr:row>77</xdr:row>
      <xdr:rowOff>0</xdr:rowOff>
    </xdr:from>
    <xdr:ext cx="5204386" cy="1664647"/>
    <xdr:pic>
      <xdr:nvPicPr>
        <xdr:cNvPr id="8" name="Picture 4" descr="http://www.climatizacionaireacondicionado.eu/img/cms/IMAGENES/IDROGAS/caracteristicas-termo-QV-ATUAIRE.png">
          <a:extLst>
            <a:ext uri="{FF2B5EF4-FFF2-40B4-BE49-F238E27FC236}">
              <a16:creationId xmlns:a16="http://schemas.microsoft.com/office/drawing/2014/main" id="{44338487-BE81-44D0-B346-1291F9AFE749}"/>
            </a:ext>
          </a:extLst>
        </xdr:cNvPr>
        <xdr:cNvPicPr>
          <a:picLocks noChangeAspect="1" noChangeArrowheads="1"/>
        </xdr:cNvPicPr>
      </xdr:nvPicPr>
      <xdr:blipFill>
        <a:blip xmlns:r="http://schemas.openxmlformats.org/officeDocument/2006/relationships" r:embed="rId5"/>
        <a:srcRect/>
        <a:stretch>
          <a:fillRect/>
        </a:stretch>
      </xdr:blipFill>
      <xdr:spPr bwMode="auto">
        <a:xfrm>
          <a:off x="8696325" y="13935075"/>
          <a:ext cx="5204386" cy="1664647"/>
        </a:xfrm>
        <a:prstGeom prst="rect">
          <a:avLst/>
        </a:prstGeom>
        <a:noFill/>
      </xdr:spPr>
    </xdr:pic>
    <xdr:clientData/>
  </xdr:oneCellAnchor>
  <xdr:twoCellAnchor>
    <xdr:from>
      <xdr:col>18</xdr:col>
      <xdr:colOff>601980</xdr:colOff>
      <xdr:row>35</xdr:row>
      <xdr:rowOff>99060</xdr:rowOff>
    </xdr:from>
    <xdr:to>
      <xdr:col>27</xdr:col>
      <xdr:colOff>206680</xdr:colOff>
      <xdr:row>52</xdr:row>
      <xdr:rowOff>22166</xdr:rowOff>
    </xdr:to>
    <xdr:grpSp>
      <xdr:nvGrpSpPr>
        <xdr:cNvPr id="9" name="Agrupa 8">
          <a:extLst>
            <a:ext uri="{FF2B5EF4-FFF2-40B4-BE49-F238E27FC236}">
              <a16:creationId xmlns:a16="http://schemas.microsoft.com/office/drawing/2014/main" id="{877BB972-5C83-74D1-4D22-38D8AA9224CA}"/>
            </a:ext>
          </a:extLst>
        </xdr:cNvPr>
        <xdr:cNvGrpSpPr/>
      </xdr:nvGrpSpPr>
      <xdr:grpSpPr>
        <a:xfrm>
          <a:off x="14830425" y="6429375"/>
          <a:ext cx="6725590" cy="2999681"/>
          <a:chOff x="15057120" y="6743700"/>
          <a:chExt cx="6737020" cy="3032066"/>
        </a:xfrm>
      </xdr:grpSpPr>
      <xdr:pic>
        <xdr:nvPicPr>
          <xdr:cNvPr id="2" name="Imatge 1">
            <a:extLst>
              <a:ext uri="{FF2B5EF4-FFF2-40B4-BE49-F238E27FC236}">
                <a16:creationId xmlns:a16="http://schemas.microsoft.com/office/drawing/2014/main" id="{C73FC5CF-1B39-35B5-3DF5-E39D6B502F56}"/>
              </a:ext>
            </a:extLst>
          </xdr:cNvPr>
          <xdr:cNvPicPr>
            <a:picLocks noChangeAspect="1"/>
          </xdr:cNvPicPr>
        </xdr:nvPicPr>
        <xdr:blipFill>
          <a:blip xmlns:r="http://schemas.openxmlformats.org/officeDocument/2006/relationships" r:embed="rId6"/>
          <a:stretch>
            <a:fillRect/>
          </a:stretch>
        </xdr:blipFill>
        <xdr:spPr>
          <a:xfrm>
            <a:off x="15084830" y="6808123"/>
            <a:ext cx="6709310" cy="2967643"/>
          </a:xfrm>
          <a:prstGeom prst="rect">
            <a:avLst/>
          </a:prstGeom>
        </xdr:spPr>
      </xdr:pic>
      <xdr:sp macro="" textlink="">
        <xdr:nvSpPr>
          <xdr:cNvPr id="5" name="QuadreDeText 4">
            <a:extLst>
              <a:ext uri="{FF2B5EF4-FFF2-40B4-BE49-F238E27FC236}">
                <a16:creationId xmlns:a16="http://schemas.microsoft.com/office/drawing/2014/main" id="{0F2DEF57-4688-46E5-9C3B-6374CEE10094}"/>
              </a:ext>
            </a:extLst>
          </xdr:cNvPr>
          <xdr:cNvSpPr txBox="1"/>
        </xdr:nvSpPr>
        <xdr:spPr>
          <a:xfrm>
            <a:off x="15057120" y="6743700"/>
            <a:ext cx="2727960" cy="365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a-ES" sz="1100" b="1"/>
              <a:t>Exemple interacumulador TARIFA 2022:</a:t>
            </a:r>
          </a:p>
        </xdr:txBody>
      </xdr:sp>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ibacat.sharepoint.com/sites/msteams_729e94/Documentos%20compartidos/General/EINES%20EXCEL/EFICIENCIA/Eina_comptabilitat_energetica_Format%20unificat.xlsx" TargetMode="External"/><Relationship Id="rId1" Type="http://schemas.openxmlformats.org/officeDocument/2006/relationships/externalLinkPath" Target="Eina_comptabilitat_energetica_Format%20unif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rtada"/>
      <sheetName val="Instruccions detallades"/>
      <sheetName val="Introducció dades Grals"/>
      <sheetName val="Introducció dades"/>
      <sheetName val="Resultats individuals"/>
      <sheetName val="Resultats comparatius"/>
      <sheetName val="llistes"/>
      <sheetName val="eine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Set>
  </externalBook>
</externalLink>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ici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9.bin"/><Relationship Id="rId1" Type="http://schemas.openxmlformats.org/officeDocument/2006/relationships/hyperlink" Target="https://www.boe.es/buscar/pdf/2007/BOE-A-2007-15820-consolidado.pdf"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hyperlink" Target="https://treball.gencat.cat/ca/ambits/relacions_laborals/ci/calendari_laboral/" TargetMode="External"/><Relationship Id="rId1" Type="http://schemas.openxmlformats.org/officeDocument/2006/relationships/hyperlink" Target="https://treball.gencat.cat/ca/ambits/relacions_laborals/ci/calendari_laboral/festes_generals_locals_Cat/" TargetMode="External"/><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A31AB-70F2-4752-AD9B-9C1E08F05BD1}">
  <sheetPr codeName="Full1">
    <tabColor rgb="FFC00000"/>
  </sheetPr>
  <dimension ref="A1:V38"/>
  <sheetViews>
    <sheetView showGridLines="0" tabSelected="1" zoomScale="85" zoomScaleNormal="85" workbookViewId="0"/>
  </sheetViews>
  <sheetFormatPr defaultColWidth="8.88671875" defaultRowHeight="14.4"/>
  <cols>
    <col min="1" max="1" width="1.44140625" style="409" customWidth="1"/>
    <col min="2" max="2" width="1.88671875" style="409" customWidth="1"/>
    <col min="3" max="3" width="27.5546875" style="409" customWidth="1"/>
    <col min="4" max="4" width="1.88671875" style="409" customWidth="1"/>
    <col min="5" max="6" width="8.88671875" style="409"/>
    <col min="7" max="7" width="6.88671875" style="409" customWidth="1"/>
    <col min="8" max="8" width="8.88671875" style="409"/>
    <col min="9" max="9" width="11.44140625" style="409" customWidth="1"/>
    <col min="10" max="11" width="8.88671875" style="409"/>
    <col min="12" max="12" width="6.6640625" style="409" customWidth="1"/>
    <col min="13" max="13" width="20.109375" style="409" customWidth="1"/>
    <col min="14" max="18" width="8.88671875" style="409"/>
    <col min="19" max="19" width="16.88671875" style="409" customWidth="1"/>
    <col min="20" max="21" width="1.44140625" style="409" customWidth="1"/>
    <col min="22" max="16384" width="8.88671875" style="409"/>
  </cols>
  <sheetData>
    <row r="1" spans="1:22" ht="10.95" customHeight="1">
      <c r="A1" s="408"/>
      <c r="B1" s="408"/>
      <c r="C1" s="408"/>
      <c r="D1" s="408"/>
      <c r="E1" s="408"/>
      <c r="F1" s="408"/>
      <c r="G1" s="408"/>
      <c r="H1" s="408"/>
      <c r="I1" s="408"/>
      <c r="J1" s="408"/>
      <c r="K1" s="408"/>
      <c r="L1" s="408"/>
      <c r="M1" s="408"/>
      <c r="N1" s="408"/>
      <c r="O1" s="408"/>
      <c r="P1" s="408"/>
      <c r="Q1" s="408"/>
      <c r="R1" s="408"/>
      <c r="S1" s="408"/>
      <c r="T1" s="408"/>
      <c r="U1" s="408"/>
    </row>
    <row r="2" spans="1:22" s="412" customFormat="1" ht="31.2">
      <c r="A2" s="410"/>
      <c r="B2" s="411"/>
      <c r="C2" s="411"/>
      <c r="D2" s="411"/>
      <c r="E2" s="411"/>
      <c r="F2" s="411"/>
      <c r="G2" s="411"/>
      <c r="H2" s="411"/>
      <c r="I2" s="411"/>
      <c r="J2" s="411"/>
      <c r="K2" s="411"/>
      <c r="L2" s="411"/>
      <c r="M2" s="411"/>
      <c r="N2" s="411"/>
      <c r="O2" s="411"/>
      <c r="P2" s="411"/>
      <c r="Q2" s="411"/>
      <c r="R2" s="411"/>
      <c r="S2" s="411"/>
      <c r="T2" s="411"/>
      <c r="U2" s="410"/>
    </row>
    <row r="3" spans="1:22" s="412" customFormat="1" ht="31.2">
      <c r="A3" s="410"/>
      <c r="B3" s="411"/>
      <c r="C3" s="411"/>
      <c r="D3" s="411"/>
      <c r="E3" s="411"/>
      <c r="F3" s="411"/>
      <c r="G3" s="411"/>
      <c r="H3" s="411"/>
      <c r="I3" s="411"/>
      <c r="J3" s="411"/>
      <c r="K3" s="411"/>
      <c r="L3" s="411"/>
      <c r="M3" s="411"/>
      <c r="N3" s="411"/>
      <c r="O3" s="411"/>
      <c r="P3" s="411"/>
      <c r="Q3" s="411"/>
      <c r="R3" s="411"/>
      <c r="S3" s="411"/>
      <c r="T3" s="411"/>
      <c r="U3" s="410"/>
    </row>
    <row r="4" spans="1:22" s="412" customFormat="1" ht="31.2">
      <c r="A4" s="410"/>
      <c r="B4" s="411"/>
      <c r="C4" s="411"/>
      <c r="D4" s="411"/>
      <c r="E4" s="411"/>
      <c r="F4" s="411"/>
      <c r="G4" s="411"/>
      <c r="H4" s="411"/>
      <c r="I4" s="411"/>
      <c r="J4" s="411"/>
      <c r="K4" s="411"/>
      <c r="L4" s="411"/>
      <c r="M4" s="411"/>
      <c r="N4" s="411"/>
      <c r="O4" s="411"/>
      <c r="P4" s="411"/>
      <c r="Q4" s="411"/>
      <c r="R4" s="411"/>
      <c r="S4" s="411"/>
      <c r="T4" s="411"/>
      <c r="U4" s="410"/>
    </row>
    <row r="5" spans="1:22" s="412" customFormat="1" ht="31.2">
      <c r="A5" s="410"/>
      <c r="B5" s="413"/>
      <c r="C5" s="413"/>
      <c r="D5" s="413"/>
      <c r="E5" s="413"/>
      <c r="F5" s="413"/>
      <c r="G5" s="413"/>
      <c r="H5" s="413"/>
      <c r="I5" s="413"/>
      <c r="J5" s="413"/>
      <c r="K5" s="413"/>
      <c r="L5" s="413"/>
      <c r="M5" s="413"/>
      <c r="N5" s="413"/>
      <c r="O5" s="413"/>
      <c r="P5" s="413"/>
      <c r="Q5" s="413"/>
      <c r="R5" s="413"/>
      <c r="S5" s="413"/>
      <c r="T5" s="413"/>
      <c r="U5" s="410"/>
    </row>
    <row r="6" spans="1:22" s="412" customFormat="1" ht="31.2">
      <c r="A6" s="410"/>
      <c r="B6" s="413"/>
      <c r="C6" s="414"/>
      <c r="D6" s="414"/>
      <c r="E6" s="414"/>
      <c r="F6" s="414"/>
      <c r="G6" s="414"/>
      <c r="H6" s="414"/>
      <c r="I6" s="414"/>
      <c r="J6" s="414"/>
      <c r="K6" s="414"/>
      <c r="L6" s="414"/>
      <c r="M6" s="414"/>
      <c r="N6" s="414"/>
      <c r="O6" s="414"/>
      <c r="P6" s="414"/>
      <c r="Q6" s="414"/>
      <c r="R6" s="414"/>
      <c r="S6" s="414"/>
      <c r="T6" s="413"/>
      <c r="U6" s="410"/>
    </row>
    <row r="7" spans="1:22" s="412" customFormat="1" ht="88.2" customHeight="1">
      <c r="A7" s="410"/>
      <c r="B7" s="413"/>
      <c r="C7" s="414"/>
      <c r="D7" s="505" t="s">
        <v>979</v>
      </c>
      <c r="E7" s="505"/>
      <c r="F7" s="505"/>
      <c r="G7" s="505"/>
      <c r="H7" s="505"/>
      <c r="I7" s="505"/>
      <c r="J7" s="505"/>
      <c r="K7" s="505"/>
      <c r="L7" s="505"/>
      <c r="M7" s="505"/>
      <c r="N7" s="505"/>
      <c r="O7" s="505"/>
      <c r="P7" s="505"/>
      <c r="Q7" s="505"/>
      <c r="R7" s="505"/>
      <c r="S7" s="415"/>
      <c r="T7" s="416"/>
      <c r="U7" s="410"/>
    </row>
    <row r="8" spans="1:22" s="412" customFormat="1" ht="31.2">
      <c r="A8" s="410"/>
      <c r="B8" s="413"/>
      <c r="C8" s="414"/>
      <c r="D8" s="414"/>
      <c r="E8" s="417"/>
      <c r="F8" s="417"/>
      <c r="G8" s="417"/>
      <c r="H8" s="417"/>
      <c r="I8" s="417"/>
      <c r="J8" s="417"/>
      <c r="K8" s="417"/>
      <c r="L8" s="417"/>
      <c r="M8" s="417"/>
      <c r="N8" s="417"/>
      <c r="O8" s="417"/>
      <c r="P8" s="417"/>
      <c r="Q8" s="417"/>
      <c r="R8" s="417"/>
      <c r="S8" s="417"/>
      <c r="T8" s="416"/>
      <c r="U8" s="418"/>
      <c r="V8" s="419"/>
    </row>
    <row r="9" spans="1:22" s="412" customFormat="1" ht="31.2">
      <c r="A9" s="410"/>
      <c r="B9" s="413"/>
      <c r="C9" s="506" t="s">
        <v>974</v>
      </c>
      <c r="D9" s="506"/>
      <c r="E9" s="506"/>
      <c r="F9" s="506"/>
      <c r="G9" s="506"/>
      <c r="H9" s="506"/>
      <c r="I9" s="506"/>
      <c r="J9" s="506"/>
      <c r="K9" s="506"/>
      <c r="L9" s="420"/>
      <c r="M9" s="421">
        <v>45995</v>
      </c>
      <c r="N9" s="500" t="s">
        <v>1093</v>
      </c>
      <c r="O9" s="417"/>
      <c r="P9" s="417"/>
      <c r="Q9" s="417"/>
      <c r="R9" s="417"/>
      <c r="S9" s="417"/>
      <c r="T9" s="416"/>
      <c r="U9" s="418"/>
      <c r="V9" s="419"/>
    </row>
    <row r="10" spans="1:22" s="412" customFormat="1" ht="27.6" customHeight="1">
      <c r="A10" s="410"/>
      <c r="B10" s="413"/>
      <c r="C10" s="422"/>
      <c r="D10" s="422"/>
      <c r="E10" s="422"/>
      <c r="F10" s="422"/>
      <c r="G10" s="422"/>
      <c r="H10" s="422"/>
      <c r="I10" s="422"/>
      <c r="J10" s="422"/>
      <c r="K10" s="422"/>
      <c r="L10" s="423"/>
      <c r="M10" s="417"/>
      <c r="N10" s="417"/>
      <c r="O10" s="417"/>
      <c r="P10" s="417"/>
      <c r="Q10" s="417"/>
      <c r="R10" s="417"/>
      <c r="S10" s="417"/>
      <c r="T10" s="416"/>
      <c r="U10" s="418"/>
      <c r="V10" s="419"/>
    </row>
    <row r="11" spans="1:22" s="412" customFormat="1" ht="15.6" customHeight="1">
      <c r="A11" s="410"/>
      <c r="B11" s="413"/>
      <c r="C11" s="414"/>
      <c r="D11" s="414"/>
      <c r="E11" s="417"/>
      <c r="F11" s="417"/>
      <c r="G11" s="417"/>
      <c r="H11" s="417"/>
      <c r="I11" s="417"/>
      <c r="J11" s="417"/>
      <c r="K11" s="417"/>
      <c r="L11" s="417"/>
      <c r="M11" s="417"/>
      <c r="N11" s="417"/>
      <c r="O11" s="417"/>
      <c r="P11" s="417"/>
      <c r="Q11" s="417"/>
      <c r="R11" s="417"/>
      <c r="S11" s="417"/>
      <c r="T11" s="416"/>
      <c r="U11" s="418"/>
      <c r="V11" s="419"/>
    </row>
    <row r="12" spans="1:22" s="412" customFormat="1" ht="31.2">
      <c r="A12" s="410"/>
      <c r="B12" s="413"/>
      <c r="C12" s="413"/>
      <c r="D12" s="413"/>
      <c r="E12" s="416"/>
      <c r="F12" s="416"/>
      <c r="G12" s="416"/>
      <c r="H12" s="416"/>
      <c r="I12" s="416"/>
      <c r="J12" s="416"/>
      <c r="K12" s="416"/>
      <c r="L12" s="416"/>
      <c r="M12" s="416"/>
      <c r="N12" s="416"/>
      <c r="O12" s="416"/>
      <c r="P12" s="416"/>
      <c r="Q12" s="416"/>
      <c r="R12" s="416"/>
      <c r="S12" s="416"/>
      <c r="T12" s="416"/>
      <c r="U12" s="418"/>
      <c r="V12" s="419"/>
    </row>
    <row r="13" spans="1:22" s="412" customFormat="1" ht="31.2">
      <c r="A13" s="410"/>
      <c r="B13" s="424"/>
      <c r="C13" s="425"/>
      <c r="D13" s="425"/>
      <c r="E13" s="426"/>
      <c r="F13" s="426"/>
      <c r="G13" s="426"/>
      <c r="H13" s="426"/>
      <c r="I13" s="426"/>
      <c r="J13" s="426"/>
      <c r="K13" s="426"/>
      <c r="L13" s="426"/>
      <c r="M13" s="426"/>
      <c r="N13" s="426"/>
      <c r="O13" s="426"/>
      <c r="P13" s="426"/>
      <c r="Q13" s="427"/>
      <c r="R13" s="427"/>
      <c r="S13" s="427"/>
      <c r="T13" s="427"/>
      <c r="U13" s="418"/>
      <c r="V13" s="419"/>
    </row>
    <row r="14" spans="1:22" ht="45" customHeight="1">
      <c r="A14" s="408"/>
      <c r="B14" s="424"/>
      <c r="C14" s="444" t="s">
        <v>275</v>
      </c>
      <c r="D14" s="429"/>
      <c r="E14" s="507" t="s">
        <v>980</v>
      </c>
      <c r="F14" s="507"/>
      <c r="G14" s="507"/>
      <c r="H14" s="507"/>
      <c r="I14" s="507"/>
      <c r="J14" s="507"/>
      <c r="K14" s="507"/>
      <c r="L14" s="507"/>
      <c r="M14" s="507"/>
      <c r="N14" s="507"/>
      <c r="O14" s="507"/>
      <c r="P14" s="507"/>
      <c r="Q14" s="507"/>
      <c r="R14" s="507"/>
      <c r="S14" s="507"/>
      <c r="T14" s="507"/>
      <c r="U14" s="408"/>
    </row>
    <row r="15" spans="1:22" ht="21">
      <c r="A15" s="408"/>
      <c r="B15" s="424"/>
      <c r="C15" s="428"/>
      <c r="D15" s="429"/>
      <c r="E15" s="508"/>
      <c r="F15" s="508"/>
      <c r="G15" s="508"/>
      <c r="H15" s="508"/>
      <c r="I15" s="508"/>
      <c r="J15" s="508"/>
      <c r="K15" s="430"/>
      <c r="L15" s="430"/>
      <c r="M15" s="430"/>
      <c r="N15" s="430"/>
      <c r="O15" s="430"/>
      <c r="P15" s="430"/>
      <c r="Q15" s="430"/>
      <c r="R15" s="430"/>
      <c r="S15" s="430"/>
      <c r="T15" s="430"/>
      <c r="U15" s="408"/>
    </row>
    <row r="16" spans="1:22" ht="36.6" customHeight="1">
      <c r="A16" s="408"/>
      <c r="B16" s="424"/>
      <c r="C16" s="501" t="s">
        <v>975</v>
      </c>
      <c r="D16" s="429"/>
      <c r="E16" s="509" t="s">
        <v>981</v>
      </c>
      <c r="F16" s="509"/>
      <c r="G16" s="509"/>
      <c r="H16" s="509"/>
      <c r="I16" s="509"/>
      <c r="J16" s="509"/>
      <c r="K16" s="509"/>
      <c r="L16" s="509"/>
      <c r="M16" s="509"/>
      <c r="N16" s="509"/>
      <c r="O16" s="509"/>
      <c r="P16" s="509"/>
      <c r="Q16" s="509"/>
      <c r="R16" s="509"/>
      <c r="S16" s="509"/>
      <c r="T16" s="430"/>
      <c r="U16" s="408"/>
    </row>
    <row r="17" spans="1:21" ht="20.399999999999999" customHeight="1">
      <c r="A17" s="408"/>
      <c r="B17" s="424"/>
      <c r="C17" s="501"/>
      <c r="D17" s="429"/>
      <c r="E17" s="510" t="s">
        <v>982</v>
      </c>
      <c r="F17" s="510"/>
      <c r="G17" s="510"/>
      <c r="H17" s="510"/>
      <c r="I17" s="510"/>
      <c r="J17" s="510"/>
      <c r="K17" s="510"/>
      <c r="L17" s="510"/>
      <c r="M17" s="510"/>
      <c r="N17" s="510"/>
      <c r="O17" s="510"/>
      <c r="P17" s="510"/>
      <c r="Q17" s="510"/>
      <c r="R17" s="510"/>
      <c r="S17" s="510"/>
      <c r="T17" s="430"/>
      <c r="U17" s="408"/>
    </row>
    <row r="18" spans="1:21" ht="17.399999999999999" customHeight="1">
      <c r="A18" s="408"/>
      <c r="B18" s="424"/>
      <c r="C18" s="428"/>
      <c r="D18" s="429"/>
      <c r="E18" s="432" t="s">
        <v>983</v>
      </c>
      <c r="F18" s="432"/>
      <c r="G18" s="432"/>
      <c r="H18" s="432"/>
      <c r="I18" s="432"/>
      <c r="J18" s="432"/>
      <c r="K18" s="432"/>
      <c r="L18" s="432"/>
      <c r="M18" s="432"/>
      <c r="N18" s="432"/>
      <c r="O18" s="432"/>
      <c r="P18" s="432"/>
      <c r="Q18" s="433"/>
      <c r="R18" s="433"/>
      <c r="S18" s="433"/>
      <c r="T18" s="430"/>
      <c r="U18" s="408"/>
    </row>
    <row r="19" spans="1:21" ht="21">
      <c r="A19" s="408"/>
      <c r="B19" s="424"/>
      <c r="C19" s="428"/>
      <c r="D19" s="429"/>
      <c r="E19" s="434"/>
      <c r="F19" s="434"/>
      <c r="G19" s="434"/>
      <c r="H19" s="434"/>
      <c r="I19" s="434"/>
      <c r="J19" s="434"/>
      <c r="K19" s="434"/>
      <c r="L19" s="434"/>
      <c r="M19" s="434"/>
      <c r="N19" s="434"/>
      <c r="O19" s="434"/>
      <c r="P19" s="434"/>
      <c r="Q19" s="435"/>
      <c r="R19" s="435"/>
      <c r="S19" s="435"/>
      <c r="T19" s="435"/>
      <c r="U19" s="408"/>
    </row>
    <row r="20" spans="1:21" ht="21" customHeight="1">
      <c r="A20" s="408"/>
      <c r="B20" s="424"/>
      <c r="C20" s="501" t="s">
        <v>976</v>
      </c>
      <c r="D20" s="429"/>
      <c r="E20" s="435"/>
      <c r="F20" s="436"/>
      <c r="G20" s="435"/>
      <c r="H20" s="437" t="s">
        <v>984</v>
      </c>
      <c r="I20" s="438"/>
      <c r="J20" s="438"/>
      <c r="K20" s="438"/>
      <c r="L20" s="438"/>
      <c r="M20" s="438"/>
      <c r="N20" s="438"/>
      <c r="O20" s="435"/>
      <c r="P20" s="435"/>
      <c r="Q20" s="435"/>
      <c r="R20" s="435"/>
      <c r="S20" s="435"/>
      <c r="T20" s="435"/>
      <c r="U20" s="408"/>
    </row>
    <row r="21" spans="1:21" ht="21">
      <c r="A21" s="408"/>
      <c r="B21" s="424"/>
      <c r="C21" s="501"/>
      <c r="D21" s="435"/>
      <c r="E21" s="435"/>
      <c r="F21" s="435"/>
      <c r="G21" s="435"/>
      <c r="H21" s="438"/>
      <c r="I21" s="445"/>
      <c r="J21" s="432" t="s">
        <v>977</v>
      </c>
      <c r="K21" s="432"/>
      <c r="L21" s="439"/>
      <c r="M21" s="439"/>
      <c r="N21" s="439"/>
      <c r="O21" s="440"/>
      <c r="P21" s="440"/>
      <c r="Q21" s="440"/>
      <c r="R21" s="440"/>
      <c r="S21" s="440"/>
      <c r="T21" s="440"/>
      <c r="U21" s="408"/>
    </row>
    <row r="22" spans="1:21" ht="21">
      <c r="A22" s="408"/>
      <c r="B22" s="424"/>
      <c r="C22" s="501"/>
      <c r="D22" s="435"/>
      <c r="E22" s="435"/>
      <c r="F22" s="435"/>
      <c r="G22" s="435"/>
      <c r="H22" s="438"/>
      <c r="I22" s="441"/>
      <c r="J22" s="432" t="s">
        <v>978</v>
      </c>
      <c r="K22" s="432"/>
      <c r="L22" s="439"/>
      <c r="M22" s="439"/>
      <c r="N22" s="439"/>
      <c r="O22" s="440"/>
      <c r="P22" s="440"/>
      <c r="Q22" s="440"/>
      <c r="R22" s="440"/>
      <c r="S22" s="440"/>
      <c r="T22" s="440"/>
      <c r="U22" s="408"/>
    </row>
    <row r="23" spans="1:21" ht="21">
      <c r="A23" s="408"/>
      <c r="B23" s="424"/>
      <c r="C23" s="435"/>
      <c r="D23" s="435"/>
      <c r="E23" s="435"/>
      <c r="F23" s="435"/>
      <c r="G23" s="435"/>
      <c r="H23" s="438"/>
      <c r="I23" s="442"/>
      <c r="J23" s="432"/>
      <c r="K23" s="432"/>
      <c r="L23" s="439"/>
      <c r="M23" s="439"/>
      <c r="N23" s="439"/>
      <c r="O23" s="440"/>
      <c r="P23" s="440"/>
      <c r="Q23" s="440"/>
      <c r="R23" s="440"/>
      <c r="S23" s="440"/>
      <c r="T23" s="440"/>
      <c r="U23" s="408"/>
    </row>
    <row r="24" spans="1:21" ht="21" customHeight="1">
      <c r="A24" s="408"/>
      <c r="B24" s="424"/>
      <c r="C24" s="501"/>
      <c r="D24" s="429"/>
      <c r="E24" s="435"/>
      <c r="F24" s="436"/>
      <c r="G24" s="435"/>
      <c r="H24" s="437" t="s">
        <v>985</v>
      </c>
      <c r="I24" s="438"/>
      <c r="J24" s="438"/>
      <c r="K24" s="438"/>
      <c r="L24" s="438"/>
      <c r="M24" s="438"/>
      <c r="N24" s="438"/>
      <c r="O24" s="435"/>
      <c r="P24" s="435"/>
      <c r="Q24" s="435"/>
      <c r="R24" s="435"/>
      <c r="S24" s="435"/>
      <c r="T24" s="435"/>
      <c r="U24" s="408"/>
    </row>
    <row r="25" spans="1:21" ht="21">
      <c r="A25" s="408"/>
      <c r="B25" s="424"/>
      <c r="C25" s="501"/>
      <c r="D25" s="435"/>
      <c r="E25" s="435"/>
      <c r="F25" s="435"/>
      <c r="G25" s="435"/>
      <c r="H25" s="438"/>
      <c r="I25" s="445"/>
      <c r="J25" s="432" t="s">
        <v>977</v>
      </c>
      <c r="K25" s="432"/>
      <c r="L25" s="439"/>
      <c r="M25" s="439"/>
      <c r="N25" s="439"/>
      <c r="O25" s="440"/>
      <c r="P25" s="440"/>
      <c r="Q25" s="440"/>
      <c r="R25" s="440"/>
      <c r="S25" s="440"/>
      <c r="T25" s="440"/>
      <c r="U25" s="408"/>
    </row>
    <row r="26" spans="1:21" ht="21">
      <c r="A26" s="408"/>
      <c r="B26" s="424"/>
      <c r="C26" s="501"/>
      <c r="D26" s="435"/>
      <c r="E26" s="435"/>
      <c r="F26" s="435"/>
      <c r="G26" s="435"/>
      <c r="H26" s="438"/>
      <c r="I26" s="441"/>
      <c r="J26" s="432" t="s">
        <v>978</v>
      </c>
      <c r="K26" s="432"/>
      <c r="L26" s="439"/>
      <c r="M26" s="439"/>
      <c r="N26" s="439"/>
      <c r="O26" s="440"/>
      <c r="P26" s="440"/>
      <c r="Q26" s="440"/>
      <c r="R26" s="440"/>
      <c r="S26" s="440"/>
      <c r="T26" s="440"/>
      <c r="U26" s="408"/>
    </row>
    <row r="27" spans="1:21" ht="21">
      <c r="A27" s="408"/>
      <c r="B27" s="424"/>
      <c r="C27" s="431"/>
      <c r="D27" s="435"/>
      <c r="E27" s="435"/>
      <c r="F27" s="435"/>
      <c r="G27" s="435"/>
      <c r="H27" s="435"/>
      <c r="I27" s="435"/>
      <c r="J27" s="502"/>
      <c r="K27" s="502"/>
      <c r="L27" s="502"/>
      <c r="M27" s="502"/>
      <c r="N27" s="502"/>
      <c r="O27" s="502"/>
      <c r="P27" s="502"/>
      <c r="Q27" s="502"/>
      <c r="R27" s="502"/>
      <c r="S27" s="502"/>
      <c r="T27" s="440"/>
      <c r="U27" s="408"/>
    </row>
    <row r="28" spans="1:21" ht="21">
      <c r="A28" s="408"/>
      <c r="B28" s="424"/>
      <c r="C28" s="435"/>
      <c r="D28" s="435"/>
      <c r="E28" s="435"/>
      <c r="F28" s="435"/>
      <c r="G28" s="435"/>
      <c r="H28" s="438"/>
      <c r="I28" s="432"/>
      <c r="J28" s="502"/>
      <c r="K28" s="502"/>
      <c r="L28" s="502"/>
      <c r="M28" s="502"/>
      <c r="N28" s="502"/>
      <c r="O28" s="502"/>
      <c r="P28" s="502"/>
      <c r="Q28" s="502"/>
      <c r="R28" s="502"/>
      <c r="S28" s="502"/>
      <c r="T28" s="440"/>
      <c r="U28" s="408"/>
    </row>
    <row r="29" spans="1:21" ht="21">
      <c r="A29" s="408"/>
      <c r="B29" s="424"/>
      <c r="C29" s="435"/>
      <c r="D29" s="435"/>
      <c r="E29" s="435"/>
      <c r="F29" s="435"/>
      <c r="G29" s="435"/>
      <c r="H29" s="437" t="s">
        <v>989</v>
      </c>
      <c r="I29" s="439"/>
      <c r="J29" s="439"/>
      <c r="K29" s="439"/>
      <c r="L29" s="439"/>
      <c r="M29" s="439"/>
      <c r="N29" s="439"/>
      <c r="O29" s="440"/>
      <c r="P29" s="440"/>
      <c r="Q29" s="440"/>
      <c r="R29" s="440"/>
      <c r="S29" s="440"/>
      <c r="T29" s="440"/>
      <c r="U29" s="408"/>
    </row>
    <row r="30" spans="1:21" ht="21">
      <c r="A30" s="408"/>
      <c r="B30" s="424"/>
      <c r="C30" s="435"/>
      <c r="D30" s="435"/>
      <c r="E30" s="435"/>
      <c r="F30" s="435"/>
      <c r="G30" s="435"/>
      <c r="H30" s="437"/>
      <c r="I30" s="437"/>
      <c r="J30" s="432" t="s">
        <v>990</v>
      </c>
      <c r="K30" s="439"/>
      <c r="L30" s="439"/>
      <c r="M30" s="439"/>
      <c r="N30" s="439"/>
      <c r="O30" s="440"/>
      <c r="P30" s="440"/>
      <c r="Q30" s="440"/>
      <c r="R30" s="440"/>
      <c r="S30" s="440"/>
      <c r="T30" s="440"/>
      <c r="U30" s="408"/>
    </row>
    <row r="31" spans="1:21" ht="21">
      <c r="A31" s="408"/>
      <c r="B31" s="424"/>
      <c r="C31" s="435"/>
      <c r="D31" s="435"/>
      <c r="E31" s="435"/>
      <c r="F31" s="435"/>
      <c r="G31" s="435"/>
      <c r="H31" s="438"/>
      <c r="I31" s="438"/>
      <c r="J31" s="432" t="s">
        <v>991</v>
      </c>
      <c r="K31" s="439"/>
      <c r="L31" s="439"/>
      <c r="M31" s="439"/>
      <c r="N31" s="439"/>
      <c r="O31" s="440"/>
      <c r="P31" s="440"/>
      <c r="Q31" s="440"/>
      <c r="R31" s="440"/>
      <c r="S31" s="440"/>
      <c r="T31" s="440"/>
      <c r="U31" s="408"/>
    </row>
    <row r="32" spans="1:21" ht="21">
      <c r="A32" s="408"/>
      <c r="B32" s="424"/>
      <c r="C32" s="435"/>
      <c r="D32" s="435"/>
      <c r="E32" s="435"/>
      <c r="F32" s="435"/>
      <c r="G32" s="435"/>
      <c r="H32" s="438"/>
      <c r="I32" s="438"/>
      <c r="J32" s="432" t="s">
        <v>993</v>
      </c>
      <c r="K32" s="439"/>
      <c r="L32" s="439"/>
      <c r="M32" s="439"/>
      <c r="N32" s="439"/>
      <c r="O32" s="440"/>
      <c r="P32" s="440"/>
      <c r="Q32" s="440"/>
      <c r="R32" s="440"/>
      <c r="S32" s="440"/>
      <c r="T32" s="440"/>
      <c r="U32" s="408"/>
    </row>
    <row r="33" spans="1:21" ht="21">
      <c r="A33" s="408"/>
      <c r="B33" s="424"/>
      <c r="C33" s="435"/>
      <c r="D33" s="435"/>
      <c r="E33" s="435"/>
      <c r="F33" s="435"/>
      <c r="G33" s="435"/>
      <c r="H33" s="438"/>
      <c r="I33" s="432"/>
      <c r="J33" s="432" t="s">
        <v>992</v>
      </c>
      <c r="K33" s="439"/>
      <c r="L33" s="439"/>
      <c r="M33" s="439"/>
      <c r="N33" s="439"/>
      <c r="O33" s="440"/>
      <c r="P33" s="440"/>
      <c r="Q33" s="440"/>
      <c r="R33" s="440"/>
      <c r="S33" s="440"/>
      <c r="T33" s="440"/>
      <c r="U33" s="408"/>
    </row>
    <row r="34" spans="1:21" ht="21">
      <c r="A34" s="408"/>
      <c r="B34" s="424"/>
      <c r="C34" s="435"/>
      <c r="D34" s="435"/>
      <c r="E34" s="435"/>
      <c r="F34" s="435"/>
      <c r="G34" s="435"/>
      <c r="H34" s="437"/>
      <c r="I34" s="438"/>
      <c r="J34" s="438"/>
      <c r="K34" s="438"/>
      <c r="L34" s="438"/>
      <c r="M34" s="438"/>
      <c r="N34" s="438"/>
      <c r="O34" s="435"/>
      <c r="P34" s="435"/>
      <c r="Q34" s="435"/>
      <c r="R34" s="435"/>
      <c r="S34" s="435"/>
      <c r="T34" s="435"/>
      <c r="U34" s="408"/>
    </row>
    <row r="35" spans="1:21" ht="21">
      <c r="A35" s="408"/>
      <c r="B35" s="424"/>
      <c r="C35" s="435"/>
      <c r="D35" s="435"/>
      <c r="E35" s="435"/>
      <c r="F35" s="435"/>
      <c r="G35" s="435"/>
      <c r="H35" s="435"/>
      <c r="I35" s="435"/>
      <c r="J35" s="435"/>
      <c r="K35" s="435"/>
      <c r="L35" s="435"/>
      <c r="M35" s="435"/>
      <c r="N35" s="435"/>
      <c r="O35" s="435"/>
      <c r="P35" s="435"/>
      <c r="Q35" s="435"/>
      <c r="R35" s="435"/>
      <c r="S35" s="435"/>
      <c r="T35" s="435"/>
      <c r="U35" s="408"/>
    </row>
    <row r="36" spans="1:21" ht="7.2" customHeight="1">
      <c r="A36" s="408"/>
      <c r="B36" s="408"/>
      <c r="C36" s="503"/>
      <c r="D36" s="503"/>
      <c r="E36" s="503"/>
      <c r="F36" s="503"/>
      <c r="G36" s="503"/>
      <c r="H36" s="503"/>
      <c r="I36" s="503"/>
      <c r="J36" s="503"/>
      <c r="K36" s="503"/>
      <c r="L36" s="503"/>
      <c r="M36" s="503"/>
      <c r="N36" s="503"/>
      <c r="O36" s="503"/>
      <c r="P36" s="408"/>
      <c r="Q36" s="408"/>
      <c r="R36" s="408"/>
      <c r="S36" s="408"/>
      <c r="T36" s="408"/>
      <c r="U36" s="408"/>
    </row>
    <row r="37" spans="1:21">
      <c r="C37" s="443"/>
      <c r="D37" s="443"/>
    </row>
    <row r="38" spans="1:21">
      <c r="C38" s="504"/>
      <c r="D38" s="504"/>
      <c r="E38" s="504"/>
      <c r="F38" s="504"/>
      <c r="G38" s="504"/>
      <c r="H38" s="504"/>
      <c r="I38" s="504"/>
      <c r="J38" s="504"/>
      <c r="K38" s="504"/>
      <c r="L38" s="504"/>
      <c r="M38" s="504"/>
      <c r="N38" s="504"/>
      <c r="O38" s="504"/>
    </row>
  </sheetData>
  <sheetProtection sheet="1" objects="1" scenarios="1"/>
  <mergeCells count="12">
    <mergeCell ref="D7:R7"/>
    <mergeCell ref="C9:K9"/>
    <mergeCell ref="E14:T14"/>
    <mergeCell ref="E15:J15"/>
    <mergeCell ref="C16:C17"/>
    <mergeCell ref="E16:S16"/>
    <mergeCell ref="E17:S17"/>
    <mergeCell ref="C20:C22"/>
    <mergeCell ref="C24:C26"/>
    <mergeCell ref="J27:S28"/>
    <mergeCell ref="C36:O36"/>
    <mergeCell ref="C38:O38"/>
  </mergeCells>
  <pageMargins left="0.75" right="0.75" top="1" bottom="1"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7FA21-B755-476A-BACD-2502167DC79C}">
  <sheetPr codeName="Full7"/>
  <dimension ref="A1:V262"/>
  <sheetViews>
    <sheetView zoomScale="70" zoomScaleNormal="70" zoomScaleSheetLayoutView="85" workbookViewId="0">
      <pane ySplit="2" topLeftCell="A3" activePane="bottomLeft" state="frozen"/>
      <selection activeCell="B253" sqref="B253"/>
      <selection pane="bottomLeft" activeCell="D47" sqref="D47"/>
    </sheetView>
  </sheetViews>
  <sheetFormatPr defaultRowHeight="14.4"/>
  <cols>
    <col min="1" max="1" width="3.44140625" style="3" customWidth="1"/>
    <col min="2" max="2" width="19.21875" style="3" customWidth="1"/>
    <col min="3" max="3" width="9.109375" style="3" bestFit="1" customWidth="1"/>
    <col min="4" max="5" width="8.88671875" style="3"/>
    <col min="6" max="6" width="10.88671875" style="3" customWidth="1"/>
    <col min="7" max="7" width="11.6640625" style="3" customWidth="1"/>
    <col min="8" max="10" width="8.88671875" style="3"/>
    <col min="11" max="11" width="10.6640625" style="3" customWidth="1"/>
    <col min="12" max="12" width="9.33203125" style="3" bestFit="1" customWidth="1"/>
    <col min="13" max="13" width="10.88671875" style="3" customWidth="1"/>
    <col min="14" max="16384" width="8.88671875" style="3"/>
  </cols>
  <sheetData>
    <row r="1" spans="1:22" s="46" customFormat="1" ht="18">
      <c r="A1" s="97" t="s">
        <v>142</v>
      </c>
      <c r="C1" s="47">
        <f>+DADES_ACTUAL!C1</f>
        <v>0</v>
      </c>
      <c r="D1" s="6"/>
      <c r="E1" s="6"/>
      <c r="I1" s="97" t="s">
        <v>143</v>
      </c>
      <c r="J1" s="48">
        <f>+DADES_ACTUAL!J1</f>
        <v>0</v>
      </c>
    </row>
    <row r="2" spans="1:22" ht="18">
      <c r="A2" s="198"/>
      <c r="B2" s="198"/>
      <c r="C2" s="199" t="s">
        <v>342</v>
      </c>
      <c r="D2" s="198"/>
      <c r="E2" s="198"/>
      <c r="F2" s="198"/>
      <c r="G2" s="198"/>
      <c r="H2" s="198"/>
      <c r="I2" s="198"/>
      <c r="J2" s="198"/>
      <c r="K2" s="198"/>
      <c r="L2" s="198"/>
      <c r="M2" s="198"/>
      <c r="N2" s="198"/>
      <c r="O2" s="198"/>
      <c r="P2" s="198"/>
      <c r="Q2" s="198"/>
      <c r="R2" s="198"/>
      <c r="S2" s="198"/>
      <c r="T2" s="198"/>
      <c r="U2" s="198"/>
      <c r="V2" s="198"/>
    </row>
    <row r="3" spans="1:22" ht="18">
      <c r="C3" s="227"/>
    </row>
    <row r="4" spans="1:22" ht="15.6">
      <c r="B4" s="55" t="s">
        <v>357</v>
      </c>
      <c r="C4" s="1"/>
      <c r="D4" s="1"/>
      <c r="E4" s="1"/>
      <c r="F4" s="1"/>
      <c r="H4" s="55" t="s">
        <v>429</v>
      </c>
      <c r="I4" s="1"/>
      <c r="J4" s="1"/>
      <c r="K4" s="1"/>
      <c r="L4" s="1"/>
      <c r="M4" s="1"/>
      <c r="N4" s="1"/>
      <c r="O4" s="1"/>
      <c r="P4" s="1"/>
      <c r="Q4" s="1"/>
      <c r="R4" s="1"/>
      <c r="S4" s="1"/>
    </row>
    <row r="5" spans="1:22">
      <c r="B5" s="61" t="s">
        <v>416</v>
      </c>
      <c r="C5" s="61"/>
      <c r="D5" s="573">
        <f>+DADES_ACTUAL!D6</f>
        <v>0</v>
      </c>
      <c r="E5" s="573"/>
      <c r="H5" s="25"/>
      <c r="I5" s="26"/>
      <c r="J5" s="130" t="s">
        <v>301</v>
      </c>
      <c r="K5" s="26"/>
      <c r="L5" s="27"/>
      <c r="M5" s="130" t="s">
        <v>340</v>
      </c>
      <c r="N5" s="26"/>
      <c r="O5" s="27"/>
      <c r="P5" s="130" t="s">
        <v>341</v>
      </c>
      <c r="Q5" s="133"/>
      <c r="R5" s="26"/>
      <c r="S5" s="27"/>
    </row>
    <row r="6" spans="1:22">
      <c r="B6" s="3" t="s">
        <v>355</v>
      </c>
      <c r="D6" s="573">
        <f>+DADES_ACTUAL!D7</f>
        <v>0</v>
      </c>
      <c r="E6" s="573"/>
      <c r="H6" s="218"/>
      <c r="I6" s="4"/>
      <c r="J6" s="219" t="s">
        <v>21</v>
      </c>
      <c r="K6" s="16" t="s">
        <v>263</v>
      </c>
      <c r="L6" s="220" t="s">
        <v>65</v>
      </c>
      <c r="M6" s="219" t="s">
        <v>21</v>
      </c>
      <c r="N6" s="16" t="s">
        <v>263</v>
      </c>
      <c r="O6" s="220" t="s">
        <v>65</v>
      </c>
      <c r="P6" s="219" t="s">
        <v>21</v>
      </c>
      <c r="Q6" s="4"/>
      <c r="R6" s="16" t="s">
        <v>263</v>
      </c>
      <c r="S6" s="220" t="s">
        <v>65</v>
      </c>
    </row>
    <row r="7" spans="1:22">
      <c r="B7" s="9" t="s">
        <v>352</v>
      </c>
      <c r="C7" s="49"/>
      <c r="D7" s="168">
        <f>+DADES_ACTUAL!D8</f>
        <v>0</v>
      </c>
      <c r="E7" s="169" t="s">
        <v>20</v>
      </c>
      <c r="H7" s="232" t="s">
        <v>92</v>
      </c>
      <c r="I7" s="9"/>
      <c r="J7" s="132" t="e">
        <f>+D27</f>
        <v>#DIV/0!</v>
      </c>
      <c r="K7" s="157" t="e">
        <f>+J7*$D$11</f>
        <v>#DIV/0!</v>
      </c>
      <c r="L7" s="175" t="e">
        <f>+J7*CO2_combus</f>
        <v>#DIV/0!</v>
      </c>
      <c r="M7" s="132" t="e">
        <f>+D29</f>
        <v>#DIV/0!</v>
      </c>
      <c r="N7" s="157" t="e">
        <f>+M7*DADES_ACTUAL!$D$13</f>
        <v>#DIV/0!</v>
      </c>
      <c r="O7" s="175" t="e">
        <f>+M7*CO2_elec</f>
        <v>#DIV/0!</v>
      </c>
      <c r="P7" s="132" t="e">
        <f>+M7+J7</f>
        <v>#DIV/0!</v>
      </c>
      <c r="Q7" s="52" t="e">
        <f>+P7/$P$10</f>
        <v>#DIV/0!</v>
      </c>
      <c r="R7" s="157" t="e">
        <f>+N7+K7</f>
        <v>#DIV/0!</v>
      </c>
      <c r="S7" s="175" t="e">
        <f t="shared" ref="S7:S8" si="0">+L7+O7</f>
        <v>#DIV/0!</v>
      </c>
    </row>
    <row r="8" spans="1:22">
      <c r="B8" s="9" t="s">
        <v>343</v>
      </c>
      <c r="C8" s="9"/>
      <c r="D8" s="170">
        <f>+DADES_ACTUAL!D9</f>
        <v>0</v>
      </c>
      <c r="E8" s="169"/>
      <c r="H8" s="232" t="s">
        <v>93</v>
      </c>
      <c r="J8" s="132" t="e">
        <f>+D46</f>
        <v>#DIV/0!</v>
      </c>
      <c r="K8" s="157" t="e">
        <f t="shared" ref="K8:K9" si="1">+J8*$D$11</f>
        <v>#DIV/0!</v>
      </c>
      <c r="L8" s="175" t="e">
        <f>+J8*CO2_combus</f>
        <v>#DIV/0!</v>
      </c>
      <c r="M8" s="132" t="e">
        <f>+D47</f>
        <v>#DIV/0!</v>
      </c>
      <c r="N8" s="157" t="e">
        <f>+M8*DADES_ACTUAL!$D$13</f>
        <v>#DIV/0!</v>
      </c>
      <c r="O8" s="175" t="e">
        <f>+M8*CO2_elec</f>
        <v>#DIV/0!</v>
      </c>
      <c r="P8" s="132" t="e">
        <f>+M8+J8</f>
        <v>#DIV/0!</v>
      </c>
      <c r="Q8" s="52" t="e">
        <f t="shared" ref="Q8:Q9" si="2">+P8/$P$10</f>
        <v>#DIV/0!</v>
      </c>
      <c r="R8" s="157" t="e">
        <f>+N8+K8</f>
        <v>#DIV/0!</v>
      </c>
      <c r="S8" s="175" t="e">
        <f t="shared" si="0"/>
        <v>#DIV/0!</v>
      </c>
    </row>
    <row r="9" spans="1:22">
      <c r="B9" s="9" t="s">
        <v>353</v>
      </c>
      <c r="C9" s="9"/>
      <c r="D9" s="172">
        <f>+DADES_ACTUAL!D10</f>
        <v>0</v>
      </c>
      <c r="E9" s="9" t="s">
        <v>20</v>
      </c>
      <c r="H9" s="232" t="s">
        <v>310</v>
      </c>
      <c r="I9" s="9"/>
      <c r="J9" s="132" t="e">
        <f>+L97</f>
        <v>#DIV/0!</v>
      </c>
      <c r="K9" s="157" t="e">
        <f t="shared" si="1"/>
        <v>#DIV/0!</v>
      </c>
      <c r="L9" s="175" t="e">
        <f>+J9*CO2_combus</f>
        <v>#DIV/0!</v>
      </c>
      <c r="M9" s="132" t="e">
        <f>+L98</f>
        <v>#DIV/0!</v>
      </c>
      <c r="N9" s="157" t="e">
        <f>+M9*DADES_ACTUAL!$D$13</f>
        <v>#DIV/0!</v>
      </c>
      <c r="O9" s="175" t="e">
        <f>+M9*CO2_elec</f>
        <v>#DIV/0!</v>
      </c>
      <c r="P9" s="132" t="e">
        <f>+M9+J9</f>
        <v>#DIV/0!</v>
      </c>
      <c r="Q9" s="52" t="e">
        <f t="shared" si="2"/>
        <v>#DIV/0!</v>
      </c>
      <c r="R9" s="157" t="e">
        <f>+N9+K9</f>
        <v>#DIV/0!</v>
      </c>
      <c r="S9" s="175" t="e">
        <f>+L9+O9</f>
        <v>#DIV/0!</v>
      </c>
    </row>
    <row r="10" spans="1:22">
      <c r="B10" s="9" t="s">
        <v>97</v>
      </c>
      <c r="C10" s="9"/>
      <c r="D10" s="578">
        <f>+DADES_ACTUAL!D11</f>
        <v>0</v>
      </c>
      <c r="E10" s="578"/>
      <c r="H10" s="137" t="s">
        <v>94</v>
      </c>
      <c r="I10" s="138"/>
      <c r="J10" s="174" t="e">
        <f t="shared" ref="J10:P10" si="3">SUM(J7:J9)</f>
        <v>#DIV/0!</v>
      </c>
      <c r="K10" s="176" t="e">
        <f t="shared" si="3"/>
        <v>#DIV/0!</v>
      </c>
      <c r="L10" s="177" t="e">
        <f t="shared" si="3"/>
        <v>#DIV/0!</v>
      </c>
      <c r="M10" s="174" t="e">
        <f t="shared" si="3"/>
        <v>#DIV/0!</v>
      </c>
      <c r="N10" s="176" t="e">
        <f t="shared" si="3"/>
        <v>#DIV/0!</v>
      </c>
      <c r="O10" s="177" t="e">
        <f t="shared" si="3"/>
        <v>#DIV/0!</v>
      </c>
      <c r="P10" s="174" t="e">
        <f t="shared" si="3"/>
        <v>#DIV/0!</v>
      </c>
      <c r="Q10" s="139" t="e">
        <f>+P10/$P$10</f>
        <v>#DIV/0!</v>
      </c>
      <c r="R10" s="176" t="e">
        <f>SUM(R7:R9)</f>
        <v>#DIV/0!</v>
      </c>
      <c r="S10" s="177" t="e">
        <f>SUM(S7:S9)</f>
        <v>#DIV/0!</v>
      </c>
    </row>
    <row r="11" spans="1:22">
      <c r="B11" s="9" t="s">
        <v>3</v>
      </c>
      <c r="C11" s="49"/>
      <c r="D11" s="171">
        <f>+DADES_ACTUAL!D12</f>
        <v>0</v>
      </c>
      <c r="E11" s="169" t="s">
        <v>4</v>
      </c>
      <c r="I11" s="46"/>
    </row>
    <row r="12" spans="1:22">
      <c r="B12" s="9" t="s">
        <v>110</v>
      </c>
      <c r="C12" s="9"/>
      <c r="D12" s="171">
        <f>+DADES_ACTUAL!D13</f>
        <v>0</v>
      </c>
      <c r="E12" s="50" t="s">
        <v>4</v>
      </c>
      <c r="H12" s="134" t="s">
        <v>299</v>
      </c>
      <c r="I12" s="53"/>
      <c r="J12" s="54" t="e">
        <f>+P10</f>
        <v>#DIV/0!</v>
      </c>
      <c r="K12" s="135" t="s">
        <v>32</v>
      </c>
      <c r="M12" s="351" t="e">
        <f>+M10/D9</f>
        <v>#DIV/0!</v>
      </c>
      <c r="N12" s="2" t="s">
        <v>928</v>
      </c>
    </row>
    <row r="13" spans="1:22">
      <c r="B13" s="9" t="s">
        <v>52</v>
      </c>
      <c r="C13" s="9"/>
      <c r="D13" s="9" t="e">
        <f>+VLOOKUP(D10,desplegables!$A$3:$E$10,5,0)</f>
        <v>#N/A</v>
      </c>
      <c r="E13" s="9" t="s">
        <v>57</v>
      </c>
      <c r="H13" s="134" t="s">
        <v>154</v>
      </c>
      <c r="I13" s="53"/>
      <c r="J13" s="54" t="e">
        <f>+R10</f>
        <v>#DIV/0!</v>
      </c>
      <c r="K13" s="135" t="s">
        <v>43</v>
      </c>
    </row>
    <row r="14" spans="1:22">
      <c r="B14" s="9" t="s">
        <v>354</v>
      </c>
      <c r="C14" s="9"/>
      <c r="D14" s="9">
        <f>+desplegables!$E$3</f>
        <v>0.26</v>
      </c>
      <c r="E14" s="9" t="s">
        <v>57</v>
      </c>
      <c r="H14" s="134" t="s">
        <v>153</v>
      </c>
      <c r="I14" s="53"/>
      <c r="J14" s="54" t="e">
        <f>+S10</f>
        <v>#DIV/0!</v>
      </c>
      <c r="K14" s="135" t="s">
        <v>65</v>
      </c>
    </row>
    <row r="15" spans="1:22">
      <c r="B15" s="1" t="s">
        <v>76</v>
      </c>
      <c r="C15" s="1"/>
      <c r="D15" s="1"/>
      <c r="E15" s="1"/>
      <c r="F15" s="1"/>
      <c r="H15" s="8" t="s">
        <v>965</v>
      </c>
      <c r="I15" s="9"/>
      <c r="J15" s="51">
        <f>+CALCULS_ACTUAL!D20*CALCULS_ACTUAL!D25/1000</f>
        <v>0</v>
      </c>
      <c r="K15" s="10" t="s">
        <v>967</v>
      </c>
    </row>
    <row r="16" spans="1:22">
      <c r="B16" s="3" t="s">
        <v>78</v>
      </c>
      <c r="D16" s="153">
        <f>+DADES_ACTUAL!C16</f>
        <v>0</v>
      </c>
      <c r="E16" s="3" t="s">
        <v>69</v>
      </c>
      <c r="H16" s="8" t="s">
        <v>963</v>
      </c>
      <c r="I16" s="9"/>
      <c r="J16" s="56" t="e">
        <f>+J13/J15</f>
        <v>#DIV/0!</v>
      </c>
      <c r="K16" s="10" t="s">
        <v>957</v>
      </c>
    </row>
    <row r="17" spans="2:14">
      <c r="B17" s="3" t="s">
        <v>79</v>
      </c>
      <c r="D17" s="153">
        <f>+DADES_ACTUAL!C17</f>
        <v>0</v>
      </c>
      <c r="H17" s="8" t="s">
        <v>361</v>
      </c>
      <c r="I17" s="9"/>
      <c r="J17" s="178" t="e">
        <f>+J13/365</f>
        <v>#DIV/0!</v>
      </c>
      <c r="K17" s="10" t="s">
        <v>360</v>
      </c>
    </row>
    <row r="18" spans="2:14">
      <c r="B18" s="3" t="s">
        <v>402</v>
      </c>
      <c r="D18" s="153">
        <f>+DADES_ACTUAL!C18</f>
        <v>0</v>
      </c>
      <c r="E18" s="3" t="s">
        <v>71</v>
      </c>
      <c r="H18" s="8" t="s">
        <v>968</v>
      </c>
      <c r="I18" s="9"/>
      <c r="J18" s="52" t="e">
        <f>+(P8+P9)/P10</f>
        <v>#DIV/0!</v>
      </c>
      <c r="K18" s="10"/>
    </row>
    <row r="19" spans="2:14">
      <c r="B19" s="3" t="s">
        <v>81</v>
      </c>
      <c r="D19" s="163">
        <f>+DADES_ACTUAL!C19</f>
        <v>0</v>
      </c>
      <c r="H19" s="8" t="s">
        <v>969</v>
      </c>
      <c r="I19" s="9"/>
      <c r="J19" s="56" t="e">
        <f>+P10/P7</f>
        <v>#DIV/0!</v>
      </c>
      <c r="K19" s="10"/>
    </row>
    <row r="20" spans="2:14">
      <c r="B20" s="3" t="s">
        <v>140</v>
      </c>
      <c r="D20" s="43">
        <f>+D16*D18*D19</f>
        <v>0</v>
      </c>
      <c r="E20" s="3" t="s">
        <v>141</v>
      </c>
      <c r="H20" s="8" t="s">
        <v>418</v>
      </c>
      <c r="I20" s="9"/>
      <c r="J20" s="51">
        <f>+D106</f>
        <v>0</v>
      </c>
      <c r="K20" s="10" t="s">
        <v>43</v>
      </c>
    </row>
    <row r="21" spans="2:14">
      <c r="B21" s="3" t="s">
        <v>82</v>
      </c>
      <c r="D21" s="153">
        <f>+DADES_ACTUAL!C21</f>
        <v>0</v>
      </c>
      <c r="E21" s="3" t="s">
        <v>1</v>
      </c>
      <c r="H21" s="8" t="s">
        <v>419</v>
      </c>
      <c r="I21" s="9"/>
      <c r="J21" s="51">
        <f>+D107</f>
        <v>0</v>
      </c>
      <c r="K21" s="10" t="s">
        <v>37</v>
      </c>
    </row>
    <row r="22" spans="2:14">
      <c r="B22" s="3" t="s">
        <v>83</v>
      </c>
      <c r="D22" s="153">
        <f>+DADES_ACTUAL!C22</f>
        <v>0</v>
      </c>
      <c r="E22" s="3" t="s">
        <v>1</v>
      </c>
      <c r="H22" s="8" t="s">
        <v>422</v>
      </c>
      <c r="I22" s="9"/>
      <c r="J22" s="238" t="e">
        <f>+D112</f>
        <v>#DIV/0!</v>
      </c>
      <c r="K22" s="10" t="s">
        <v>4</v>
      </c>
    </row>
    <row r="23" spans="2:14">
      <c r="B23" s="3" t="s">
        <v>84</v>
      </c>
      <c r="D23" s="43">
        <f>D20*(D21-D22)</f>
        <v>0</v>
      </c>
      <c r="E23" s="3" t="s">
        <v>72</v>
      </c>
    </row>
    <row r="24" spans="2:14">
      <c r="D24" s="107">
        <f>+D23/860</f>
        <v>0</v>
      </c>
      <c r="E24" s="3" t="s">
        <v>74</v>
      </c>
    </row>
    <row r="25" spans="2:14">
      <c r="B25" s="3" t="s">
        <v>87</v>
      </c>
      <c r="D25" s="154">
        <f>+DADES_ACTUAL!C23</f>
        <v>0</v>
      </c>
      <c r="E25" s="3" t="s">
        <v>88</v>
      </c>
    </row>
    <row r="26" spans="2:14">
      <c r="B26" s="3" t="s">
        <v>89</v>
      </c>
      <c r="D26" s="39">
        <f>+D24*D25</f>
        <v>0</v>
      </c>
      <c r="E26" s="3" t="s">
        <v>32</v>
      </c>
    </row>
    <row r="27" spans="2:14">
      <c r="B27" s="2" t="s">
        <v>102</v>
      </c>
      <c r="D27" s="44" t="e">
        <f>+D26/$D$8</f>
        <v>#DIV/0!</v>
      </c>
      <c r="E27" s="2" t="s">
        <v>32</v>
      </c>
    </row>
    <row r="28" spans="2:14">
      <c r="D28" s="38" t="e">
        <f>+D27/D16/D25</f>
        <v>#DIV/0!</v>
      </c>
      <c r="E28" s="3" t="s">
        <v>111</v>
      </c>
    </row>
    <row r="29" spans="2:14">
      <c r="B29" s="3" t="s">
        <v>359</v>
      </c>
      <c r="D29" s="39" t="e">
        <f>+D27/$D$7*$D$9</f>
        <v>#DIV/0!</v>
      </c>
      <c r="E29" s="3" t="s">
        <v>32</v>
      </c>
    </row>
    <row r="30" spans="2:14">
      <c r="C30" s="39"/>
    </row>
    <row r="31" spans="2:14">
      <c r="B31" s="1" t="s">
        <v>77</v>
      </c>
      <c r="C31" s="1"/>
      <c r="D31" s="1"/>
      <c r="E31" s="42"/>
      <c r="F31" s="42"/>
      <c r="G31" s="42"/>
      <c r="H31" s="42"/>
      <c r="I31" s="42"/>
      <c r="J31" s="42"/>
      <c r="K31" s="42"/>
      <c r="L31" s="42"/>
      <c r="M31" s="42"/>
      <c r="N31" s="42"/>
    </row>
    <row r="32" spans="2:14">
      <c r="C32" s="142" t="s">
        <v>302</v>
      </c>
      <c r="D32" s="142" t="s">
        <v>304</v>
      </c>
      <c r="E32" s="143" t="s">
        <v>70</v>
      </c>
      <c r="F32" s="143" t="s">
        <v>303</v>
      </c>
    </row>
    <row r="33" spans="2:8">
      <c r="C33" s="33" t="s">
        <v>300</v>
      </c>
      <c r="D33" s="33" t="s">
        <v>305</v>
      </c>
      <c r="E33" s="144" t="s">
        <v>75</v>
      </c>
      <c r="F33" s="144" t="s">
        <v>138</v>
      </c>
    </row>
    <row r="34" spans="2:8">
      <c r="B34" s="11" t="s">
        <v>306</v>
      </c>
      <c r="C34" s="173">
        <f>+DADES_ACTUAL!C28</f>
        <v>0</v>
      </c>
      <c r="D34" s="156">
        <f>+DADES_ACTUAL!D28</f>
        <v>0</v>
      </c>
      <c r="E34" s="30" cm="1">
        <f t="array" ref="E34">IFERROR(VLOOKUP(C34,perdues_diposit,_xlfn.IFS(D34="A+",2,D34="A",3,D34="B",4,D34="C",5,D34="D",6,D34="E",7,D34="F",8,D34="G",9),0)/45,)</f>
        <v>0</v>
      </c>
      <c r="F34" s="156">
        <f>+DADES_ACTUAL!E28</f>
        <v>0</v>
      </c>
      <c r="H34" s="23"/>
    </row>
    <row r="35" spans="2:8">
      <c r="B35" s="11" t="s">
        <v>307</v>
      </c>
      <c r="C35" s="173">
        <f>+DADES_ACTUAL!C29</f>
        <v>0</v>
      </c>
      <c r="D35" s="156">
        <f>+DADES_ACTUAL!D29</f>
        <v>0</v>
      </c>
      <c r="E35" s="30" cm="1">
        <f t="array" ref="E35">IFERROR(VLOOKUP(C35,perdues_diposit,_xlfn.IFS(D35="A+",2,D35="A",3,D35="B",4,D35="C",5,D35="D",6,D35="E",7,D35="F",8,D35="G",9),0)/45,)</f>
        <v>0</v>
      </c>
      <c r="F35" s="156">
        <f>+DADES_ACTUAL!E29</f>
        <v>0</v>
      </c>
      <c r="G35" s="23"/>
      <c r="H35" s="23"/>
    </row>
    <row r="36" spans="2:8">
      <c r="B36" s="11" t="s">
        <v>329</v>
      </c>
      <c r="C36" s="173">
        <f>+DADES_ACTUAL!C30</f>
        <v>0</v>
      </c>
      <c r="D36" s="156">
        <f>+DADES_ACTUAL!D30</f>
        <v>0</v>
      </c>
      <c r="E36" s="30" cm="1">
        <f t="array" ref="E36">IFERROR(VLOOKUP(C36,perdues_diposit,_xlfn.IFS(D36="A+",2,D36="A",3,D36="B",4,D36="C",5,D36="D",6,D36="E",7,D36="F",8,D36="G",9),0)/45,)</f>
        <v>0</v>
      </c>
      <c r="F36" s="156">
        <f>+DADES_ACTUAL!E30</f>
        <v>0</v>
      </c>
      <c r="G36" s="23"/>
      <c r="H36" s="23"/>
    </row>
    <row r="38" spans="2:8">
      <c r="B38" s="3" t="s">
        <v>139</v>
      </c>
      <c r="D38" s="39">
        <f>+F34*C34+C35*F35+C36*F36</f>
        <v>0</v>
      </c>
      <c r="E38" s="3" t="s">
        <v>68</v>
      </c>
    </row>
    <row r="39" spans="2:8">
      <c r="B39" s="3" t="s">
        <v>308</v>
      </c>
      <c r="D39" s="5">
        <f>+E34*F34+E35*F35+E36*F36</f>
        <v>0</v>
      </c>
      <c r="E39" s="150" t="s">
        <v>75</v>
      </c>
    </row>
    <row r="40" spans="2:8">
      <c r="B40" s="3" t="s">
        <v>127</v>
      </c>
      <c r="D40" s="153">
        <f>+DADES_ACTUAL!D32</f>
        <v>0</v>
      </c>
      <c r="E40" s="3" t="s">
        <v>1</v>
      </c>
    </row>
    <row r="41" spans="2:8">
      <c r="B41" s="3" t="s">
        <v>128</v>
      </c>
      <c r="D41" s="153">
        <f>+DADES_ACTUAL!D33</f>
        <v>0</v>
      </c>
      <c r="E41" s="3" t="s">
        <v>1</v>
      </c>
    </row>
    <row r="42" spans="2:8">
      <c r="B42" s="3" t="s">
        <v>113</v>
      </c>
      <c r="D42" s="23">
        <f>+D39*(D40-D41)</f>
        <v>0</v>
      </c>
      <c r="E42" s="3" t="s">
        <v>112</v>
      </c>
    </row>
    <row r="43" spans="2:8">
      <c r="B43" s="3" t="s">
        <v>271</v>
      </c>
      <c r="D43" s="107">
        <f>+D42*0.024</f>
        <v>0</v>
      </c>
      <c r="E43" s="3" t="s">
        <v>74</v>
      </c>
    </row>
    <row r="44" spans="2:8">
      <c r="B44" s="3" t="s">
        <v>87</v>
      </c>
      <c r="D44" s="2">
        <f>+DADES_ACTUAL!$D$34</f>
        <v>0</v>
      </c>
      <c r="E44" s="3" t="s">
        <v>88</v>
      </c>
    </row>
    <row r="45" spans="2:8">
      <c r="B45" s="3" t="s">
        <v>90</v>
      </c>
      <c r="D45" s="39">
        <f>+D43*D44</f>
        <v>0</v>
      </c>
      <c r="E45" s="3" t="s">
        <v>32</v>
      </c>
    </row>
    <row r="46" spans="2:8">
      <c r="B46" s="2" t="s">
        <v>102</v>
      </c>
      <c r="D46" s="44" t="e">
        <f>+D45/$D$8</f>
        <v>#DIV/0!</v>
      </c>
      <c r="E46" s="2" t="s">
        <v>32</v>
      </c>
    </row>
    <row r="47" spans="2:8">
      <c r="B47" s="3" t="s">
        <v>359</v>
      </c>
      <c r="D47" s="39" t="e">
        <f>(D46/$D$7+D44*0.17)*$D$9</f>
        <v>#DIV/0!</v>
      </c>
      <c r="E47" s="3" t="s">
        <v>32</v>
      </c>
      <c r="H47" s="3">
        <f>1/6</f>
        <v>0.16666666666666666</v>
      </c>
    </row>
    <row r="49" spans="1:20">
      <c r="A49" s="2"/>
      <c r="B49" s="1" t="s">
        <v>156</v>
      </c>
      <c r="C49" s="1"/>
      <c r="D49" s="1"/>
      <c r="E49" s="1"/>
      <c r="F49" s="1"/>
      <c r="G49" s="1"/>
      <c r="H49" s="1"/>
      <c r="I49" s="1"/>
      <c r="J49" s="1"/>
      <c r="K49" s="1"/>
      <c r="L49" s="1"/>
      <c r="M49" s="1"/>
      <c r="N49" s="1"/>
    </row>
    <row r="50" spans="1:20">
      <c r="B50" s="2" t="s">
        <v>297</v>
      </c>
      <c r="F50" s="2" t="s">
        <v>298</v>
      </c>
      <c r="J50" s="2" t="s">
        <v>293</v>
      </c>
    </row>
    <row r="51" spans="1:20">
      <c r="B51" s="3" t="s">
        <v>0</v>
      </c>
      <c r="D51" s="155">
        <f>+DADES_ACTUAL!D38</f>
        <v>0</v>
      </c>
      <c r="E51" s="3" t="s">
        <v>1</v>
      </c>
      <c r="F51" s="3" t="s">
        <v>106</v>
      </c>
      <c r="H51" s="154">
        <f>+DADES_ACTUAL!$D$41</f>
        <v>0</v>
      </c>
      <c r="J51" s="3" t="s">
        <v>294</v>
      </c>
      <c r="L51" s="154">
        <f>+DADES_ACTUAL!D62</f>
        <v>0</v>
      </c>
      <c r="M51" s="3" t="s">
        <v>108</v>
      </c>
    </row>
    <row r="52" spans="1:20">
      <c r="B52" s="3" t="s">
        <v>5</v>
      </c>
      <c r="D52" s="5" t="str">
        <f>IFERROR((D51+L54)/2,"falta cabal")</f>
        <v>falta cabal</v>
      </c>
      <c r="E52" s="3" t="s">
        <v>1</v>
      </c>
      <c r="F52" s="3" t="s">
        <v>107</v>
      </c>
      <c r="H52" s="154">
        <f>+DADES_ACTUAL!D42</f>
        <v>0</v>
      </c>
      <c r="J52" s="3" t="s">
        <v>109</v>
      </c>
      <c r="L52" s="46">
        <f>+L51/1000*H53</f>
        <v>0</v>
      </c>
      <c r="M52" s="3" t="s">
        <v>21</v>
      </c>
    </row>
    <row r="53" spans="1:20">
      <c r="B53" s="3" t="s">
        <v>6</v>
      </c>
      <c r="D53" s="155">
        <f>+DADES_ACTUAL!D39</f>
        <v>0</v>
      </c>
      <c r="E53" s="3" t="s">
        <v>1</v>
      </c>
      <c r="F53" s="3" t="s">
        <v>2</v>
      </c>
      <c r="H53" s="43">
        <f>+H52*H51</f>
        <v>0</v>
      </c>
      <c r="I53" s="3" t="s">
        <v>295</v>
      </c>
      <c r="J53" s="3" t="s">
        <v>290</v>
      </c>
      <c r="L53" s="154">
        <f>+DADES_ACTUAL!D63</f>
        <v>0</v>
      </c>
      <c r="M53" s="3" t="s">
        <v>291</v>
      </c>
    </row>
    <row r="54" spans="1:20">
      <c r="B54" s="3" t="s">
        <v>8</v>
      </c>
      <c r="D54" s="155">
        <f>+DADES_ACTUAL!D40</f>
        <v>0</v>
      </c>
      <c r="E54" s="3" t="s">
        <v>1</v>
      </c>
      <c r="F54" s="3" t="s">
        <v>343</v>
      </c>
      <c r="H54" s="166">
        <f>+D8</f>
        <v>0</v>
      </c>
      <c r="J54" s="3" t="s">
        <v>296</v>
      </c>
      <c r="L54" s="41" t="str">
        <f>IFERROR(D51-(L94/(L53/860)),"falta cabal")</f>
        <v>falta cabal</v>
      </c>
      <c r="M54" s="3" t="s">
        <v>1</v>
      </c>
    </row>
    <row r="55" spans="1:20">
      <c r="B55" s="3" t="s">
        <v>7</v>
      </c>
      <c r="D55" s="5">
        <f>+D51-D53</f>
        <v>0</v>
      </c>
      <c r="E55" s="3" t="s">
        <v>1</v>
      </c>
      <c r="F55" s="3" t="s">
        <v>292</v>
      </c>
      <c r="H55" s="167">
        <f>+D11</f>
        <v>0</v>
      </c>
      <c r="I55" s="3" t="s">
        <v>4</v>
      </c>
    </row>
    <row r="56" spans="1:20">
      <c r="B56" s="3" t="s">
        <v>10</v>
      </c>
      <c r="D56" s="5">
        <f>+D51-D54</f>
        <v>0</v>
      </c>
      <c r="E56" s="3" t="s">
        <v>1</v>
      </c>
    </row>
    <row r="57" spans="1:20">
      <c r="A57" s="4"/>
      <c r="B57" s="4"/>
      <c r="C57" s="4"/>
      <c r="D57" s="4"/>
      <c r="E57" s="4"/>
      <c r="F57" s="4"/>
      <c r="G57" s="4"/>
      <c r="H57" s="4"/>
      <c r="I57" s="4"/>
      <c r="J57" s="4"/>
      <c r="K57" s="4"/>
      <c r="L57" s="4"/>
      <c r="M57" s="4"/>
      <c r="N57" s="4"/>
      <c r="O57" s="4"/>
    </row>
    <row r="58" spans="1:20">
      <c r="A58" s="4"/>
      <c r="B58" s="1" t="s">
        <v>267</v>
      </c>
      <c r="C58" s="1"/>
      <c r="D58" s="1"/>
      <c r="E58" s="1"/>
      <c r="F58" s="1"/>
      <c r="G58" s="1"/>
      <c r="H58" s="1"/>
      <c r="I58" s="1"/>
      <c r="J58" s="1"/>
      <c r="K58" s="1"/>
      <c r="L58" s="1"/>
      <c r="M58" s="1"/>
      <c r="N58" s="1"/>
      <c r="O58" s="1"/>
      <c r="P58" s="1"/>
      <c r="Q58" s="1"/>
      <c r="R58" s="1"/>
      <c r="S58" s="1"/>
      <c r="T58" s="1"/>
    </row>
    <row r="59" spans="1:20">
      <c r="A59" s="4"/>
      <c r="B59" s="575" t="s">
        <v>318</v>
      </c>
      <c r="C59" s="575"/>
      <c r="D59" s="575"/>
      <c r="E59" s="575"/>
      <c r="F59" s="575"/>
      <c r="G59" s="575"/>
      <c r="H59" s="4"/>
      <c r="I59" s="574" t="s">
        <v>339</v>
      </c>
      <c r="J59" s="574"/>
      <c r="K59" s="574"/>
      <c r="L59" s="574"/>
      <c r="M59" s="574"/>
      <c r="N59" s="574"/>
      <c r="O59" s="574"/>
      <c r="P59" s="574"/>
    </row>
    <row r="60" spans="1:20">
      <c r="A60" s="576" t="s">
        <v>320</v>
      </c>
      <c r="B60" s="2" t="s">
        <v>311</v>
      </c>
      <c r="I60" s="2" t="s">
        <v>313</v>
      </c>
    </row>
    <row r="61" spans="1:20" ht="43.2">
      <c r="A61" s="576"/>
      <c r="B61" s="13" t="s">
        <v>9</v>
      </c>
      <c r="C61" s="14"/>
      <c r="D61" s="15" t="s">
        <v>12</v>
      </c>
      <c r="E61" s="15" t="s">
        <v>13</v>
      </c>
      <c r="F61" s="15" t="s">
        <v>14</v>
      </c>
      <c r="G61" s="15" t="s">
        <v>15</v>
      </c>
      <c r="I61" s="13" t="s">
        <v>9</v>
      </c>
      <c r="J61" s="14"/>
      <c r="K61" s="15" t="s">
        <v>27</v>
      </c>
      <c r="L61" s="15" t="s">
        <v>13</v>
      </c>
      <c r="M61" s="15" t="s">
        <v>28</v>
      </c>
      <c r="N61" s="13" t="s">
        <v>29</v>
      </c>
      <c r="O61" s="28"/>
      <c r="P61" s="15" t="s">
        <v>15</v>
      </c>
      <c r="Q61"/>
    </row>
    <row r="62" spans="1:20">
      <c r="A62" s="576"/>
      <c r="B62" s="17" t="s">
        <v>16</v>
      </c>
      <c r="C62" s="17" t="s">
        <v>17</v>
      </c>
      <c r="D62" s="17" t="s">
        <v>18</v>
      </c>
      <c r="E62" s="17" t="s">
        <v>1</v>
      </c>
      <c r="F62" s="17" t="s">
        <v>19</v>
      </c>
      <c r="G62" s="17" t="s">
        <v>20</v>
      </c>
      <c r="I62" s="17" t="s">
        <v>16</v>
      </c>
      <c r="J62" s="17" t="s">
        <v>17</v>
      </c>
      <c r="K62" s="17" t="s">
        <v>18</v>
      </c>
      <c r="L62" s="17" t="s">
        <v>1</v>
      </c>
      <c r="M62" s="17" t="s">
        <v>16</v>
      </c>
      <c r="N62" s="17" t="s">
        <v>31</v>
      </c>
      <c r="O62" s="17" t="s">
        <v>19</v>
      </c>
      <c r="P62" s="17" t="s">
        <v>20</v>
      </c>
    </row>
    <row r="63" spans="1:20">
      <c r="A63" s="576"/>
      <c r="B63" s="17">
        <v>15</v>
      </c>
      <c r="C63" s="19" t="s">
        <v>22</v>
      </c>
      <c r="D63" s="156">
        <f>+DADES_ACTUAL!D49</f>
        <v>0</v>
      </c>
      <c r="E63" s="30">
        <f>+$D$56</f>
        <v>0</v>
      </c>
      <c r="F63" s="20">
        <f>IFERROR(VLOOKUP(E63,perdues_sense_aillar,2),)</f>
        <v>0</v>
      </c>
      <c r="G63" s="35">
        <f t="shared" ref="G63:G72" si="4">+F63*D63/1000</f>
        <v>0</v>
      </c>
      <c r="I63" s="17">
        <v>15</v>
      </c>
      <c r="J63" s="19" t="s">
        <v>22</v>
      </c>
      <c r="K63" s="156">
        <f>+DADES_ACTUAL!F49</f>
        <v>0</v>
      </c>
      <c r="L63" s="30">
        <f>+$D$56</f>
        <v>0</v>
      </c>
      <c r="M63" s="156">
        <f>+DADES_ACTUAL!G49</f>
        <v>0</v>
      </c>
      <c r="N63" s="162" cm="1">
        <f t="array" ref="N63">IFERROR(VLOOKUP(I63,perdues_amb_aillament,_xlfn.IFS(M63=20,3,M63=25,4,M63=30,5,M63=35,6,M63=40,7,M63=45,8,M63=50,9,M63=55,10)),)</f>
        <v>0</v>
      </c>
      <c r="O63" s="30">
        <f>+N63*L63</f>
        <v>0</v>
      </c>
      <c r="P63" s="35">
        <f>+O63*K63/1000</f>
        <v>0</v>
      </c>
    </row>
    <row r="64" spans="1:20">
      <c r="A64" s="576"/>
      <c r="B64" s="17">
        <v>22</v>
      </c>
      <c r="C64" s="21" t="s">
        <v>23</v>
      </c>
      <c r="D64" s="156">
        <f>+DADES_ACTUAL!D50</f>
        <v>0</v>
      </c>
      <c r="E64" s="30">
        <f t="shared" ref="E64:E72" si="5">+$D$56</f>
        <v>0</v>
      </c>
      <c r="F64" s="17">
        <f>IFERROR(VLOOKUP(E64,perdues_sense_aillar,3),)</f>
        <v>0</v>
      </c>
      <c r="G64" s="35">
        <f>+F64*D64/1000</f>
        <v>0</v>
      </c>
      <c r="I64" s="17">
        <v>22</v>
      </c>
      <c r="J64" s="21" t="s">
        <v>23</v>
      </c>
      <c r="K64" s="156">
        <f>+DADES_ACTUAL!F50</f>
        <v>0</v>
      </c>
      <c r="L64" s="30">
        <f t="shared" ref="L64:L72" si="6">+$D$56</f>
        <v>0</v>
      </c>
      <c r="M64" s="156">
        <f>+DADES_ACTUAL!G50</f>
        <v>0</v>
      </c>
      <c r="N64" s="162" cm="1">
        <f t="array" ref="N64">IFERROR(VLOOKUP(I64,perdues_amb_aillament,_xlfn.IFS(M64=20,3,M64=25,4,M64=30,5,M64=35,6,M64=40,7,M64=45,8,M64=50,9,M64=55,10)),)</f>
        <v>0</v>
      </c>
      <c r="O64" s="30">
        <f t="shared" ref="O64:O72" si="7">+N64*L64</f>
        <v>0</v>
      </c>
      <c r="P64" s="35">
        <f t="shared" ref="P64:P72" si="8">+O64*K64/1000</f>
        <v>0</v>
      </c>
    </row>
    <row r="65" spans="1:16">
      <c r="A65" s="576"/>
      <c r="B65" s="17">
        <v>28</v>
      </c>
      <c r="C65" s="15">
        <v>1</v>
      </c>
      <c r="D65" s="156">
        <f>+DADES_ACTUAL!D51</f>
        <v>0</v>
      </c>
      <c r="E65" s="30">
        <f t="shared" si="5"/>
        <v>0</v>
      </c>
      <c r="F65" s="17">
        <f>IFERROR(VLOOKUP(E65,perdues_sense_aillar,4),)</f>
        <v>0</v>
      </c>
      <c r="G65" s="35">
        <f t="shared" si="4"/>
        <v>0</v>
      </c>
      <c r="I65" s="17">
        <v>28</v>
      </c>
      <c r="J65" s="15">
        <v>1</v>
      </c>
      <c r="K65" s="156">
        <f>+DADES_ACTUAL!F51</f>
        <v>0</v>
      </c>
      <c r="L65" s="30">
        <f t="shared" si="6"/>
        <v>0</v>
      </c>
      <c r="M65" s="156">
        <f>+DADES_ACTUAL!G51</f>
        <v>0</v>
      </c>
      <c r="N65" s="162" cm="1">
        <f t="array" ref="N65">IFERROR(VLOOKUP(I65,perdues_amb_aillament,_xlfn.IFS(M65=20,3,M65=25,4,M65=30,5,M65=35,6,M65=40,7,M65=45,8,M65=50,9,M65=55,10)),)</f>
        <v>0</v>
      </c>
      <c r="O65" s="30">
        <f t="shared" si="7"/>
        <v>0</v>
      </c>
      <c r="P65" s="35">
        <f t="shared" si="8"/>
        <v>0</v>
      </c>
    </row>
    <row r="66" spans="1:16">
      <c r="A66" s="576"/>
      <c r="B66" s="17">
        <v>35</v>
      </c>
      <c r="C66" s="22">
        <v>1.25</v>
      </c>
      <c r="D66" s="156">
        <f>+DADES_ACTUAL!D52</f>
        <v>0</v>
      </c>
      <c r="E66" s="30">
        <f t="shared" si="5"/>
        <v>0</v>
      </c>
      <c r="F66" s="17">
        <f>IFERROR(VLOOKUP(E66,perdues_sense_aillar,5),)</f>
        <v>0</v>
      </c>
      <c r="G66" s="35">
        <f t="shared" si="4"/>
        <v>0</v>
      </c>
      <c r="I66" s="17">
        <v>35</v>
      </c>
      <c r="J66" s="22">
        <v>1.25</v>
      </c>
      <c r="K66" s="156">
        <f>+DADES_ACTUAL!F52</f>
        <v>0</v>
      </c>
      <c r="L66" s="30">
        <f t="shared" si="6"/>
        <v>0</v>
      </c>
      <c r="M66" s="156">
        <f>+DADES_ACTUAL!G52</f>
        <v>0</v>
      </c>
      <c r="N66" s="162" cm="1">
        <f t="array" ref="N66">IFERROR(VLOOKUP(I66,perdues_amb_aillament,_xlfn.IFS(M66=20,3,M66=25,4,M66=30,5,M66=35,6,M66=40,7,M66=45,8,M66=50,9,M66=55,10)),)</f>
        <v>0</v>
      </c>
      <c r="O66" s="30">
        <f t="shared" si="7"/>
        <v>0</v>
      </c>
      <c r="P66" s="35">
        <f t="shared" si="8"/>
        <v>0</v>
      </c>
    </row>
    <row r="67" spans="1:16">
      <c r="A67" s="576"/>
      <c r="B67" s="17">
        <v>42</v>
      </c>
      <c r="C67" s="22">
        <v>1.5</v>
      </c>
      <c r="D67" s="156">
        <f>+DADES_ACTUAL!D53</f>
        <v>0</v>
      </c>
      <c r="E67" s="30">
        <f t="shared" si="5"/>
        <v>0</v>
      </c>
      <c r="F67" s="17">
        <f>IFERROR(VLOOKUP(E67,perdues_sense_aillar,6),)</f>
        <v>0</v>
      </c>
      <c r="G67" s="35">
        <f t="shared" si="4"/>
        <v>0</v>
      </c>
      <c r="I67" s="17">
        <v>42</v>
      </c>
      <c r="J67" s="22">
        <v>1.5</v>
      </c>
      <c r="K67" s="156">
        <f>+DADES_ACTUAL!F53</f>
        <v>0</v>
      </c>
      <c r="L67" s="30">
        <f t="shared" si="6"/>
        <v>0</v>
      </c>
      <c r="M67" s="156">
        <f>+DADES_ACTUAL!G53</f>
        <v>0</v>
      </c>
      <c r="N67" s="162" cm="1">
        <f t="array" ref="N67">IFERROR(VLOOKUP(I67,perdues_amb_aillament,_xlfn.IFS(M67=20,3,M67=25,4,M67=30,5,M67=35,6,M67=40,7,M67=45,8,M67=50,9,M67=55,10)),)</f>
        <v>0</v>
      </c>
      <c r="O67" s="30">
        <f t="shared" si="7"/>
        <v>0</v>
      </c>
      <c r="P67" s="35">
        <f t="shared" si="8"/>
        <v>0</v>
      </c>
    </row>
    <row r="68" spans="1:16">
      <c r="A68" s="576"/>
      <c r="B68" s="17">
        <v>48</v>
      </c>
      <c r="C68" s="15">
        <v>2</v>
      </c>
      <c r="D68" s="156">
        <f>+DADES_ACTUAL!D54</f>
        <v>0</v>
      </c>
      <c r="E68" s="30">
        <f t="shared" si="5"/>
        <v>0</v>
      </c>
      <c r="F68" s="17">
        <f>IFERROR(VLOOKUP(E68,perdues_sense_aillar,7),)</f>
        <v>0</v>
      </c>
      <c r="G68" s="35">
        <f t="shared" si="4"/>
        <v>0</v>
      </c>
      <c r="I68" s="17">
        <v>48</v>
      </c>
      <c r="J68" s="15">
        <v>2</v>
      </c>
      <c r="K68" s="20">
        <f>IFERROR(VLOOKUP(J68,perdues_sense_aillar,2),)</f>
        <v>0</v>
      </c>
      <c r="L68" s="30">
        <f t="shared" si="6"/>
        <v>0</v>
      </c>
      <c r="M68" s="156">
        <f>+DADES_ACTUAL!G54</f>
        <v>0</v>
      </c>
      <c r="N68" s="162" cm="1">
        <f t="array" ref="N68">IFERROR(VLOOKUP(I68,perdues_amb_aillament,_xlfn.IFS(M68=20,3,M68=25,4,M68=30,5,M68=35,6,M68=40,7,M68=45,8,M68=50,9,M68=55,10)),)</f>
        <v>0</v>
      </c>
      <c r="O68" s="30">
        <f t="shared" si="7"/>
        <v>0</v>
      </c>
      <c r="P68" s="35">
        <f t="shared" si="8"/>
        <v>0</v>
      </c>
    </row>
    <row r="69" spans="1:16">
      <c r="A69" s="576"/>
      <c r="B69" s="17">
        <v>54</v>
      </c>
      <c r="C69" s="15">
        <v>2</v>
      </c>
      <c r="D69" s="156">
        <f>+DADES_ACTUAL!D55</f>
        <v>0</v>
      </c>
      <c r="E69" s="30">
        <f t="shared" si="5"/>
        <v>0</v>
      </c>
      <c r="F69" s="17">
        <f>IFERROR(VLOOKUP(E69,perdues_sense_aillar,7),)</f>
        <v>0</v>
      </c>
      <c r="G69" s="35">
        <f t="shared" si="4"/>
        <v>0</v>
      </c>
      <c r="I69" s="17">
        <v>54</v>
      </c>
      <c r="J69" s="15">
        <v>2</v>
      </c>
      <c r="K69" s="17">
        <f>IFERROR(VLOOKUP(J69,perdues_sense_aillar,3),)</f>
        <v>0</v>
      </c>
      <c r="L69" s="30">
        <f t="shared" si="6"/>
        <v>0</v>
      </c>
      <c r="M69" s="156">
        <f>+DADES_ACTUAL!G55</f>
        <v>0</v>
      </c>
      <c r="N69" s="162" cm="1">
        <f t="array" ref="N69">IFERROR(VLOOKUP(I69,perdues_amb_aillament,_xlfn.IFS(M69=20,3,M69=25,4,M69=30,5,M69=35,6,M69=40,7,M69=45,8,M69=50,9,M69=55,10)),)</f>
        <v>0</v>
      </c>
      <c r="O69" s="30">
        <f t="shared" si="7"/>
        <v>0</v>
      </c>
      <c r="P69" s="35">
        <f t="shared" si="8"/>
        <v>0</v>
      </c>
    </row>
    <row r="70" spans="1:16">
      <c r="A70" s="576"/>
      <c r="B70" s="17">
        <v>64</v>
      </c>
      <c r="C70" s="22">
        <v>2.5</v>
      </c>
      <c r="D70" s="156">
        <f>+DADES_ACTUAL!D56</f>
        <v>0</v>
      </c>
      <c r="E70" s="30">
        <f t="shared" si="5"/>
        <v>0</v>
      </c>
      <c r="F70" s="17">
        <f>IFERROR(VLOOKUP(E70,perdues_sense_aillar,8),)</f>
        <v>0</v>
      </c>
      <c r="G70" s="35">
        <f t="shared" si="4"/>
        <v>0</v>
      </c>
      <c r="I70" s="17">
        <v>64</v>
      </c>
      <c r="J70" s="22">
        <v>2.5</v>
      </c>
      <c r="K70" s="17">
        <f>IFERROR(VLOOKUP(J70,perdues_sense_aillar,4),)</f>
        <v>0</v>
      </c>
      <c r="L70" s="30">
        <f t="shared" si="6"/>
        <v>0</v>
      </c>
      <c r="M70" s="156">
        <f>+DADES_ACTUAL!G56</f>
        <v>0</v>
      </c>
      <c r="N70" s="162" cm="1">
        <f t="array" ref="N70">IFERROR(VLOOKUP(I70,perdues_amb_aillament,_xlfn.IFS(M70=20,3,M70=25,4,M70=30,5,M70=35,6,M70=40,7,M70=45,8,M70=50,9,M70=55,10)),)</f>
        <v>0</v>
      </c>
      <c r="O70" s="30">
        <f t="shared" si="7"/>
        <v>0</v>
      </c>
      <c r="P70" s="35">
        <f t="shared" si="8"/>
        <v>0</v>
      </c>
    </row>
    <row r="71" spans="1:16">
      <c r="A71" s="576"/>
      <c r="B71" s="17">
        <v>80</v>
      </c>
      <c r="C71" s="15">
        <v>3</v>
      </c>
      <c r="D71" s="156">
        <f>+DADES_ACTUAL!D57</f>
        <v>0</v>
      </c>
      <c r="E71" s="30">
        <f t="shared" si="5"/>
        <v>0</v>
      </c>
      <c r="F71" s="17">
        <f>IFERROR(VLOOKUP(E71,perdues_sense_aillar,10),)</f>
        <v>0</v>
      </c>
      <c r="G71" s="35">
        <f t="shared" si="4"/>
        <v>0</v>
      </c>
      <c r="I71" s="17">
        <v>80</v>
      </c>
      <c r="J71" s="15">
        <v>3</v>
      </c>
      <c r="K71" s="17">
        <f>IFERROR(VLOOKUP(J71,perdues_sense_aillar,5),)</f>
        <v>0</v>
      </c>
      <c r="L71" s="30">
        <f t="shared" si="6"/>
        <v>0</v>
      </c>
      <c r="M71" s="156">
        <f>+DADES_ACTUAL!G57</f>
        <v>0</v>
      </c>
      <c r="N71" s="162" cm="1">
        <f t="array" ref="N71">IFERROR(VLOOKUP(I71,perdues_amb_aillament,_xlfn.IFS(M71=20,3,M71=25,4,M71=30,5,M71=35,6,M71=40,7,M71=45,8,M71=50,9,M71=55,10)),)</f>
        <v>0</v>
      </c>
      <c r="O71" s="30">
        <f t="shared" si="7"/>
        <v>0</v>
      </c>
      <c r="P71" s="35">
        <f t="shared" si="8"/>
        <v>0</v>
      </c>
    </row>
    <row r="72" spans="1:16">
      <c r="A72" s="576"/>
      <c r="B72" s="17">
        <v>100</v>
      </c>
      <c r="C72" s="15">
        <v>4</v>
      </c>
      <c r="D72" s="156">
        <f>+DADES_ACTUAL!D58</f>
        <v>0</v>
      </c>
      <c r="E72" s="30">
        <f t="shared" si="5"/>
        <v>0</v>
      </c>
      <c r="F72" s="17">
        <f>IFERROR(VLOOKUP(E72,perdues_sense_aillar,11),)</f>
        <v>0</v>
      </c>
      <c r="G72" s="35">
        <f t="shared" si="4"/>
        <v>0</v>
      </c>
      <c r="I72" s="17">
        <v>100</v>
      </c>
      <c r="J72" s="15">
        <v>4</v>
      </c>
      <c r="K72" s="17">
        <f>IFERROR(VLOOKUP(J72,perdues_sense_aillar,6),)</f>
        <v>0</v>
      </c>
      <c r="L72" s="30">
        <f t="shared" si="6"/>
        <v>0</v>
      </c>
      <c r="M72" s="156">
        <f>+DADES_ACTUAL!G58</f>
        <v>0</v>
      </c>
      <c r="N72" s="162" cm="1">
        <f t="array" ref="N72">IFERROR(VLOOKUP(I72,perdues_amb_aillament,_xlfn.IFS(M72=20,3,M72=25,4,M72=30,5,M72=35,6,M72=40,7,M72=45,8,M72=50,9,M72=55,10)),)</f>
        <v>0</v>
      </c>
      <c r="O72" s="30">
        <f t="shared" si="7"/>
        <v>0</v>
      </c>
      <c r="P72" s="35">
        <f t="shared" si="8"/>
        <v>0</v>
      </c>
    </row>
    <row r="73" spans="1:16">
      <c r="A73" s="576"/>
      <c r="B73" s="11" t="s">
        <v>24</v>
      </c>
      <c r="C73" s="24"/>
      <c r="D73" s="17">
        <f>SUM(D63:D72)</f>
        <v>0</v>
      </c>
      <c r="E73" s="30">
        <f>IFERROR(SUMPRODUCT(D63:D72,E63:E72)/D73,AVERAGE(E63:E72))</f>
        <v>0</v>
      </c>
      <c r="F73" s="20" t="str">
        <f>IFERROR(G73*1000/D73,"-")</f>
        <v>-</v>
      </c>
      <c r="G73" s="35">
        <f>SUM(G63:G72)</f>
        <v>0</v>
      </c>
      <c r="I73" s="11" t="s">
        <v>24</v>
      </c>
      <c r="J73" s="24"/>
      <c r="K73" s="17">
        <f>IFERROR(VLOOKUP(J73,perdues_sense_aillar,7),)</f>
        <v>0</v>
      </c>
      <c r="L73" s="30">
        <f>IFERROR(SUMPRODUCT(K63:K72,L63:L72)/K73,AVERAGE(L63:L72))</f>
        <v>0</v>
      </c>
      <c r="M73" s="11"/>
      <c r="N73" s="11"/>
      <c r="O73" s="30" t="str">
        <f>+IFERROR(P73*1000/K73,"-")</f>
        <v>-</v>
      </c>
      <c r="P73" s="35">
        <f>SUM(P63:P72)</f>
        <v>0</v>
      </c>
    </row>
    <row r="74" spans="1:16">
      <c r="K74" s="17">
        <f>IFERROR(VLOOKUP(J74,perdues_sense_aillar,7),)</f>
        <v>0</v>
      </c>
    </row>
    <row r="75" spans="1:16">
      <c r="A75" s="577" t="s">
        <v>321</v>
      </c>
      <c r="B75" s="2" t="s">
        <v>312</v>
      </c>
      <c r="I75" s="2" t="s">
        <v>314</v>
      </c>
      <c r="K75" s="17">
        <f>IFERROR(VLOOKUP(J75,perdues_sense_aillar,8),)</f>
        <v>0</v>
      </c>
    </row>
    <row r="76" spans="1:16" ht="43.2">
      <c r="A76" s="577"/>
      <c r="B76" s="13" t="s">
        <v>9</v>
      </c>
      <c r="C76" s="14"/>
      <c r="D76" s="15" t="s">
        <v>12</v>
      </c>
      <c r="E76" s="15" t="s">
        <v>13</v>
      </c>
      <c r="F76" s="15" t="s">
        <v>14</v>
      </c>
      <c r="G76" s="15" t="s">
        <v>15</v>
      </c>
      <c r="I76" s="13" t="s">
        <v>9</v>
      </c>
      <c r="J76" s="14"/>
      <c r="K76" s="17">
        <f>IFERROR(VLOOKUP(J76,perdues_sense_aillar,10),)</f>
        <v>0</v>
      </c>
      <c r="L76" s="15" t="s">
        <v>13</v>
      </c>
      <c r="M76" s="15" t="s">
        <v>28</v>
      </c>
      <c r="N76" s="13" t="s">
        <v>29</v>
      </c>
      <c r="O76" s="28"/>
      <c r="P76" s="15" t="s">
        <v>15</v>
      </c>
    </row>
    <row r="77" spans="1:16">
      <c r="A77" s="577"/>
      <c r="B77" s="17" t="s">
        <v>16</v>
      </c>
      <c r="C77" s="17" t="s">
        <v>17</v>
      </c>
      <c r="D77" s="17" t="s">
        <v>18</v>
      </c>
      <c r="E77" s="17" t="s">
        <v>1</v>
      </c>
      <c r="F77" s="17" t="s">
        <v>19</v>
      </c>
      <c r="G77" s="17" t="s">
        <v>20</v>
      </c>
      <c r="I77" s="17" t="s">
        <v>16</v>
      </c>
      <c r="J77" s="17" t="s">
        <v>17</v>
      </c>
      <c r="K77" s="17">
        <f>IFERROR(VLOOKUP(J77,perdues_sense_aillar,11),)</f>
        <v>0</v>
      </c>
      <c r="L77" s="17" t="s">
        <v>1</v>
      </c>
      <c r="M77" s="17" t="s">
        <v>16</v>
      </c>
      <c r="N77" s="17" t="s">
        <v>31</v>
      </c>
      <c r="O77" s="17" t="s">
        <v>19</v>
      </c>
      <c r="P77" s="17" t="s">
        <v>20</v>
      </c>
    </row>
    <row r="78" spans="1:16">
      <c r="A78" s="577"/>
      <c r="B78" s="17">
        <v>15</v>
      </c>
      <c r="C78" s="19" t="s">
        <v>22</v>
      </c>
      <c r="D78" s="156">
        <f>+DADES_ACTUAL!E49</f>
        <v>0</v>
      </c>
      <c r="E78" s="30">
        <f>+$D$55</f>
        <v>0</v>
      </c>
      <c r="F78" s="20">
        <f>IFERROR(VLOOKUP(E78,perdues_sense_aillar,2),)</f>
        <v>0</v>
      </c>
      <c r="G78" s="35">
        <f t="shared" ref="G78" si="9">+F78*D78/1000</f>
        <v>0</v>
      </c>
      <c r="I78" s="17">
        <v>15</v>
      </c>
      <c r="J78" s="19" t="s">
        <v>22</v>
      </c>
      <c r="K78" s="156">
        <f>+DADES_ACTUAL!H49</f>
        <v>0</v>
      </c>
      <c r="L78" s="30">
        <f>+$D$55</f>
        <v>0</v>
      </c>
      <c r="M78" s="156">
        <f>+DADES_ACTUAL!I49</f>
        <v>0</v>
      </c>
      <c r="N78" s="162" cm="1">
        <f t="array" ref="N78">IFERROR(VLOOKUP(I78,perdues_amb_aillament,_xlfn.IFS(M78=20,3,M78=25,4,M78=30,5,M78=35,6,M78=40,7,M78=45,8,M78=50,9,M78=55,10)),)</f>
        <v>0</v>
      </c>
      <c r="O78" s="30">
        <f>+N78*L78</f>
        <v>0</v>
      </c>
      <c r="P78" s="35">
        <f>+O78*K78/1000</f>
        <v>0</v>
      </c>
    </row>
    <row r="79" spans="1:16">
      <c r="A79" s="577"/>
      <c r="B79" s="17">
        <v>22</v>
      </c>
      <c r="C79" s="21" t="s">
        <v>23</v>
      </c>
      <c r="D79" s="156">
        <f>+DADES_ACTUAL!E50</f>
        <v>0</v>
      </c>
      <c r="E79" s="30">
        <f t="shared" ref="E79:E87" si="10">+$D$55</f>
        <v>0</v>
      </c>
      <c r="F79" s="17">
        <f>IFERROR(VLOOKUP(E79,perdues_sense_aillar,3),)</f>
        <v>0</v>
      </c>
      <c r="G79" s="35">
        <f>+F79*D79/1000</f>
        <v>0</v>
      </c>
      <c r="I79" s="17">
        <v>22</v>
      </c>
      <c r="J79" s="21" t="s">
        <v>23</v>
      </c>
      <c r="K79" s="156">
        <f>+DADES_ACTUAL!H50</f>
        <v>0</v>
      </c>
      <c r="L79" s="30">
        <f t="shared" ref="L79:L87" si="11">+$D$55</f>
        <v>0</v>
      </c>
      <c r="M79" s="156">
        <f>+DADES_ACTUAL!I50</f>
        <v>0</v>
      </c>
      <c r="N79" s="162" cm="1">
        <f t="array" ref="N79">IFERROR(VLOOKUP(I79,perdues_amb_aillament,_xlfn.IFS(M79=20,3,M79=25,4,M79=30,5,M79=35,6,M79=40,7,M79=45,8,M79=50,9,M79=55,10)),)</f>
        <v>0</v>
      </c>
      <c r="O79" s="30">
        <f t="shared" ref="O79:O87" si="12">+N79*L79</f>
        <v>0</v>
      </c>
      <c r="P79" s="35">
        <f t="shared" ref="P79:P87" si="13">+O79*K79/1000</f>
        <v>0</v>
      </c>
    </row>
    <row r="80" spans="1:16">
      <c r="A80" s="577"/>
      <c r="B80" s="17">
        <v>28</v>
      </c>
      <c r="C80" s="15">
        <v>1</v>
      </c>
      <c r="D80" s="156">
        <f>+DADES_ACTUAL!E51</f>
        <v>0</v>
      </c>
      <c r="E80" s="30">
        <f t="shared" si="10"/>
        <v>0</v>
      </c>
      <c r="F80" s="17">
        <f>IFERROR(VLOOKUP(E80,perdues_sense_aillar,4),)</f>
        <v>0</v>
      </c>
      <c r="G80" s="35">
        <f t="shared" ref="G80:G87" si="14">+F80*D80/1000</f>
        <v>0</v>
      </c>
      <c r="I80" s="17">
        <v>28</v>
      </c>
      <c r="J80" s="15">
        <v>1</v>
      </c>
      <c r="K80" s="156">
        <f>+DADES_ACTUAL!H51</f>
        <v>0</v>
      </c>
      <c r="L80" s="30">
        <f t="shared" si="11"/>
        <v>0</v>
      </c>
      <c r="M80" s="156">
        <f>+DADES_ACTUAL!I51</f>
        <v>0</v>
      </c>
      <c r="N80" s="162" cm="1">
        <f t="array" ref="N80">IFERROR(VLOOKUP(I80,perdues_amb_aillament,_xlfn.IFS(M80=20,3,M80=25,4,M80=30,5,M80=35,6,M80=40,7,M80=45,8,M80=50,9,M80=55,10)),)</f>
        <v>0</v>
      </c>
      <c r="O80" s="30">
        <f t="shared" si="12"/>
        <v>0</v>
      </c>
      <c r="P80" s="35">
        <f t="shared" si="13"/>
        <v>0</v>
      </c>
    </row>
    <row r="81" spans="1:16">
      <c r="A81" s="577"/>
      <c r="B81" s="17">
        <v>35</v>
      </c>
      <c r="C81" s="22">
        <v>1.25</v>
      </c>
      <c r="D81" s="156">
        <f>+DADES_ACTUAL!E52</f>
        <v>0</v>
      </c>
      <c r="E81" s="30">
        <f t="shared" si="10"/>
        <v>0</v>
      </c>
      <c r="F81" s="17">
        <f>IFERROR(VLOOKUP(E81,perdues_sense_aillar,5),)</f>
        <v>0</v>
      </c>
      <c r="G81" s="35">
        <f t="shared" si="14"/>
        <v>0</v>
      </c>
      <c r="I81" s="17">
        <v>35</v>
      </c>
      <c r="J81" s="22">
        <v>1.25</v>
      </c>
      <c r="K81" s="156">
        <f>+DADES_ACTUAL!H52</f>
        <v>0</v>
      </c>
      <c r="L81" s="30">
        <f t="shared" si="11"/>
        <v>0</v>
      </c>
      <c r="M81" s="156">
        <f>+DADES_ACTUAL!I52</f>
        <v>0</v>
      </c>
      <c r="N81" s="479" cm="1">
        <f t="array" ref="N81">IFERROR(VLOOKUP(I81,perdues_amb_aillament,_xlfn.IFS(M81=20,3,M81=25,4,M81=30,5,M81=35,6,M81=40,7,M81=45,8,M81=50,9,M81=55,10)),)</f>
        <v>0</v>
      </c>
      <c r="O81" s="30">
        <f t="shared" si="12"/>
        <v>0</v>
      </c>
      <c r="P81" s="35">
        <f t="shared" si="13"/>
        <v>0</v>
      </c>
    </row>
    <row r="82" spans="1:16">
      <c r="A82" s="577"/>
      <c r="B82" s="17">
        <v>42</v>
      </c>
      <c r="C82" s="22">
        <v>1.5</v>
      </c>
      <c r="D82" s="156">
        <f>+DADES_ACTUAL!E53</f>
        <v>0</v>
      </c>
      <c r="E82" s="30">
        <f t="shared" si="10"/>
        <v>0</v>
      </c>
      <c r="F82" s="17">
        <f>IFERROR(VLOOKUP(E82,perdues_sense_aillar,6),)</f>
        <v>0</v>
      </c>
      <c r="G82" s="35">
        <f t="shared" si="14"/>
        <v>0</v>
      </c>
      <c r="I82" s="17">
        <v>42</v>
      </c>
      <c r="J82" s="22">
        <v>1.5</v>
      </c>
      <c r="K82" s="156">
        <f>+DADES_ACTUAL!H53</f>
        <v>0</v>
      </c>
      <c r="L82" s="30">
        <f t="shared" si="11"/>
        <v>0</v>
      </c>
      <c r="M82" s="156">
        <f>+DADES_ACTUAL!I53</f>
        <v>0</v>
      </c>
      <c r="N82" s="162" cm="1">
        <f t="array" ref="N82">IFERROR(VLOOKUP(I82,perdues_amb_aillament,_xlfn.IFS(M82=20,3,M82=25,4,M82=30,5,M82=35,6,M82=40,7,M82=45,8,M82=50,9,M82=55,10)),)</f>
        <v>0</v>
      </c>
      <c r="O82" s="30">
        <f t="shared" si="12"/>
        <v>0</v>
      </c>
      <c r="P82" s="35">
        <f t="shared" si="13"/>
        <v>0</v>
      </c>
    </row>
    <row r="83" spans="1:16">
      <c r="A83" s="577"/>
      <c r="B83" s="17">
        <v>48</v>
      </c>
      <c r="C83" s="15">
        <v>2</v>
      </c>
      <c r="D83" s="156">
        <f>+DADES_ACTUAL!E54</f>
        <v>0</v>
      </c>
      <c r="E83" s="30">
        <f t="shared" si="10"/>
        <v>0</v>
      </c>
      <c r="F83" s="17">
        <f>IFERROR(VLOOKUP(E83,perdues_sense_aillar,7),)</f>
        <v>0</v>
      </c>
      <c r="G83" s="35">
        <f t="shared" si="14"/>
        <v>0</v>
      </c>
      <c r="I83" s="17">
        <v>48</v>
      </c>
      <c r="J83" s="15">
        <v>2</v>
      </c>
      <c r="K83" s="156">
        <f>+DADES_ACTUAL!H54</f>
        <v>0</v>
      </c>
      <c r="L83" s="30">
        <f t="shared" si="11"/>
        <v>0</v>
      </c>
      <c r="M83" s="156">
        <f>+DADES_ACTUAL!I54</f>
        <v>0</v>
      </c>
      <c r="N83" s="162" cm="1">
        <f t="array" ref="N83">IFERROR(VLOOKUP(I83,perdues_amb_aillament,_xlfn.IFS(M83=20,3,M83=25,4,M83=30,5,M83=35,6,M83=40,7,M83=45,8,M83=50,9,M83=55,10)),)</f>
        <v>0</v>
      </c>
      <c r="O83" s="30">
        <f t="shared" si="12"/>
        <v>0</v>
      </c>
      <c r="P83" s="35">
        <f t="shared" si="13"/>
        <v>0</v>
      </c>
    </row>
    <row r="84" spans="1:16">
      <c r="A84" s="577"/>
      <c r="B84" s="17">
        <v>54</v>
      </c>
      <c r="C84" s="15">
        <v>2</v>
      </c>
      <c r="D84" s="156">
        <f>+DADES_ACTUAL!E55</f>
        <v>0</v>
      </c>
      <c r="E84" s="30">
        <f t="shared" si="10"/>
        <v>0</v>
      </c>
      <c r="F84" s="17">
        <f>IFERROR(VLOOKUP(E84,perdues_sense_aillar,7),)</f>
        <v>0</v>
      </c>
      <c r="G84" s="35">
        <f t="shared" si="14"/>
        <v>0</v>
      </c>
      <c r="I84" s="17">
        <v>54</v>
      </c>
      <c r="J84" s="15">
        <v>2</v>
      </c>
      <c r="K84" s="156">
        <f>+DADES_ACTUAL!H55</f>
        <v>0</v>
      </c>
      <c r="L84" s="30">
        <f t="shared" si="11"/>
        <v>0</v>
      </c>
      <c r="M84" s="156">
        <f>+DADES_ACTUAL!I55</f>
        <v>0</v>
      </c>
      <c r="N84" s="162" cm="1">
        <f t="array" ref="N84">IFERROR(VLOOKUP(I84,perdues_amb_aillament,_xlfn.IFS(M84=20,3,M84=25,4,M84=30,5,M84=35,6,M84=40,7,M84=45,8,M84=50,9,M84=55,10)),)</f>
        <v>0</v>
      </c>
      <c r="O84" s="30">
        <f t="shared" si="12"/>
        <v>0</v>
      </c>
      <c r="P84" s="35">
        <f t="shared" si="13"/>
        <v>0</v>
      </c>
    </row>
    <row r="85" spans="1:16">
      <c r="A85" s="577"/>
      <c r="B85" s="17">
        <v>64</v>
      </c>
      <c r="C85" s="22">
        <v>2.5</v>
      </c>
      <c r="D85" s="156">
        <f>+DADES_ACTUAL!E56</f>
        <v>0</v>
      </c>
      <c r="E85" s="30">
        <f t="shared" si="10"/>
        <v>0</v>
      </c>
      <c r="F85" s="17">
        <f>IFERROR(VLOOKUP(E85,perdues_sense_aillar,8),)</f>
        <v>0</v>
      </c>
      <c r="G85" s="35">
        <f t="shared" si="14"/>
        <v>0</v>
      </c>
      <c r="I85" s="17">
        <v>64</v>
      </c>
      <c r="J85" s="22">
        <v>2.5</v>
      </c>
      <c r="K85" s="156">
        <f>+DADES_ACTUAL!H56</f>
        <v>0</v>
      </c>
      <c r="L85" s="30">
        <f t="shared" si="11"/>
        <v>0</v>
      </c>
      <c r="M85" s="156">
        <f>+DADES_ACTUAL!I56</f>
        <v>0</v>
      </c>
      <c r="N85" s="162" cm="1">
        <f t="array" ref="N85">IFERROR(VLOOKUP(I85,perdues_amb_aillament,_xlfn.IFS(M85=20,3,M85=25,4,M85=30,5,M85=35,6,M85=40,7,M85=45,8,M85=50,9,M85=55,10)),)</f>
        <v>0</v>
      </c>
      <c r="O85" s="30">
        <f t="shared" si="12"/>
        <v>0</v>
      </c>
      <c r="P85" s="35">
        <f t="shared" si="13"/>
        <v>0</v>
      </c>
    </row>
    <row r="86" spans="1:16">
      <c r="A86" s="577"/>
      <c r="B86" s="17">
        <v>80</v>
      </c>
      <c r="C86" s="15">
        <v>3</v>
      </c>
      <c r="D86" s="156">
        <f>+DADES_ACTUAL!E57</f>
        <v>0</v>
      </c>
      <c r="E86" s="30">
        <f t="shared" si="10"/>
        <v>0</v>
      </c>
      <c r="F86" s="17">
        <f>IFERROR(VLOOKUP(E86,perdues_sense_aillar,10),)</f>
        <v>0</v>
      </c>
      <c r="G86" s="35">
        <f t="shared" si="14"/>
        <v>0</v>
      </c>
      <c r="I86" s="17">
        <v>80</v>
      </c>
      <c r="J86" s="15">
        <v>3</v>
      </c>
      <c r="K86" s="156">
        <f>+DADES_ACTUAL!H57</f>
        <v>0</v>
      </c>
      <c r="L86" s="30">
        <f t="shared" si="11"/>
        <v>0</v>
      </c>
      <c r="M86" s="156">
        <f>+DADES_ACTUAL!I57</f>
        <v>0</v>
      </c>
      <c r="N86" s="162" cm="1">
        <f t="array" ref="N86">IFERROR(VLOOKUP(I86,perdues_amb_aillament,_xlfn.IFS(M86=20,3,M86=25,4,M86=30,5,M86=35,6,M86=40,7,M86=45,8,M86=50,9,M86=55,10)),)</f>
        <v>0</v>
      </c>
      <c r="O86" s="30">
        <f t="shared" si="12"/>
        <v>0</v>
      </c>
      <c r="P86" s="35">
        <f t="shared" si="13"/>
        <v>0</v>
      </c>
    </row>
    <row r="87" spans="1:16">
      <c r="A87" s="577"/>
      <c r="B87" s="17">
        <v>100</v>
      </c>
      <c r="C87" s="15">
        <v>4</v>
      </c>
      <c r="D87" s="156">
        <f>+DADES_ACTUAL!E58</f>
        <v>0</v>
      </c>
      <c r="E87" s="30">
        <f t="shared" si="10"/>
        <v>0</v>
      </c>
      <c r="F87" s="17">
        <f>IFERROR(VLOOKUP(E87,perdues_sense_aillar,11),)</f>
        <v>0</v>
      </c>
      <c r="G87" s="35">
        <f t="shared" si="14"/>
        <v>0</v>
      </c>
      <c r="I87" s="17">
        <v>100</v>
      </c>
      <c r="J87" s="15">
        <v>4</v>
      </c>
      <c r="K87" s="156">
        <f>+DADES_ACTUAL!H58</f>
        <v>0</v>
      </c>
      <c r="L87" s="30">
        <f t="shared" si="11"/>
        <v>0</v>
      </c>
      <c r="M87" s="156">
        <f>+DADES_ACTUAL!I58</f>
        <v>0</v>
      </c>
      <c r="N87" s="162" cm="1">
        <f t="array" ref="N87">IFERROR(VLOOKUP(I87,perdues_amb_aillament,_xlfn.IFS(M87=20,3,M87=25,4,M87=30,5,M87=35,6,M87=40,7,M87=45,8,M87=50,9,M87=55,10)),)</f>
        <v>0</v>
      </c>
      <c r="O87" s="30">
        <f t="shared" si="12"/>
        <v>0</v>
      </c>
      <c r="P87" s="35">
        <f t="shared" si="13"/>
        <v>0</v>
      </c>
    </row>
    <row r="88" spans="1:16">
      <c r="A88" s="577"/>
      <c r="B88" s="11" t="s">
        <v>24</v>
      </c>
      <c r="C88" s="24"/>
      <c r="D88" s="17">
        <f>SUM(D78:D87)</f>
        <v>0</v>
      </c>
      <c r="E88" s="30">
        <f>IFERROR(SUMPRODUCT(D78:D87,E78:E87)/D88,AVERAGE(E78:E87))</f>
        <v>0</v>
      </c>
      <c r="F88" s="20" t="str">
        <f>IFERROR(G88*1000/D88,"-")</f>
        <v>-</v>
      </c>
      <c r="G88" s="35">
        <f>SUM(G78:G87)</f>
        <v>0</v>
      </c>
      <c r="I88" s="11" t="s">
        <v>24</v>
      </c>
      <c r="J88" s="24"/>
      <c r="K88" s="17">
        <f>SUM(K78:K87)</f>
        <v>0</v>
      </c>
      <c r="L88" s="30">
        <f>IFERROR(SUMPRODUCT(K78:K87,L78:L87)/K88,AVERAGE(L78:L87))</f>
        <v>0</v>
      </c>
      <c r="M88" s="11"/>
      <c r="N88" s="11"/>
      <c r="O88" s="30" t="str">
        <f>+IFERROR(P88*1000/K88,"-")</f>
        <v>-</v>
      </c>
      <c r="P88" s="35">
        <f>SUM(P78:P87)</f>
        <v>0</v>
      </c>
    </row>
    <row r="90" spans="1:16" ht="15" thickBot="1">
      <c r="B90" s="2" t="s">
        <v>24</v>
      </c>
    </row>
    <row r="91" spans="1:16" ht="43.2">
      <c r="B91" s="13" t="s">
        <v>9</v>
      </c>
      <c r="C91" s="14"/>
      <c r="D91" s="15" t="s">
        <v>34</v>
      </c>
      <c r="E91" s="31" t="s">
        <v>35</v>
      </c>
      <c r="F91" s="31" t="s">
        <v>103</v>
      </c>
      <c r="G91" s="31" t="s">
        <v>36</v>
      </c>
      <c r="I91" s="184" t="s">
        <v>158</v>
      </c>
      <c r="J91" s="185"/>
      <c r="K91" s="185"/>
      <c r="L91" s="185"/>
      <c r="M91" s="186"/>
    </row>
    <row r="92" spans="1:16">
      <c r="B92" s="17" t="s">
        <v>16</v>
      </c>
      <c r="C92" s="17" t="s">
        <v>17</v>
      </c>
      <c r="D92" s="17" t="s">
        <v>18</v>
      </c>
      <c r="E92" s="33" t="s">
        <v>20</v>
      </c>
      <c r="F92" s="33" t="s">
        <v>21</v>
      </c>
      <c r="G92" s="33" t="s">
        <v>37</v>
      </c>
      <c r="I92" s="81" t="s">
        <v>44</v>
      </c>
      <c r="J92" s="9"/>
      <c r="K92" s="9"/>
      <c r="L92" s="9">
        <f>+D103</f>
        <v>0</v>
      </c>
      <c r="M92" s="82" t="s">
        <v>18</v>
      </c>
    </row>
    <row r="93" spans="1:16">
      <c r="B93" s="17">
        <v>15</v>
      </c>
      <c r="C93" s="19" t="s">
        <v>22</v>
      </c>
      <c r="D93" s="36">
        <f t="shared" ref="D93:D102" si="15">+K63+D63+D78+K78</f>
        <v>0</v>
      </c>
      <c r="E93" s="35">
        <f t="shared" ref="E93:E102" si="16">+G63+P63+G78+P78</f>
        <v>0</v>
      </c>
      <c r="F93" s="37" t="e">
        <f>+E93*$H$53/$H$54</f>
        <v>#DIV/0!</v>
      </c>
      <c r="G93" s="160" t="e">
        <f>+F93*$H$55</f>
        <v>#DIV/0!</v>
      </c>
      <c r="I93" s="81" t="s">
        <v>45</v>
      </c>
      <c r="J93" s="9"/>
      <c r="K93" s="56"/>
      <c r="L93" s="56">
        <f>IFERROR(E103/D103*1000,)</f>
        <v>0</v>
      </c>
      <c r="M93" s="82" t="s">
        <v>19</v>
      </c>
    </row>
    <row r="94" spans="1:16">
      <c r="B94" s="17">
        <v>22</v>
      </c>
      <c r="C94" s="21" t="s">
        <v>23</v>
      </c>
      <c r="D94" s="36">
        <f t="shared" si="15"/>
        <v>0</v>
      </c>
      <c r="E94" s="35">
        <f t="shared" si="16"/>
        <v>0</v>
      </c>
      <c r="F94" s="37" t="e">
        <f t="shared" ref="F94:F102" si="17">+E94*$H$53/$H$54</f>
        <v>#DIV/0!</v>
      </c>
      <c r="G94" s="160" t="e">
        <f t="shared" ref="G94:G102" si="18">+F94*$H$55</f>
        <v>#DIV/0!</v>
      </c>
      <c r="I94" s="81" t="s">
        <v>105</v>
      </c>
      <c r="J94" s="9"/>
      <c r="K94" s="62"/>
      <c r="L94" s="62">
        <f>+E103</f>
        <v>0</v>
      </c>
      <c r="M94" s="82" t="s">
        <v>20</v>
      </c>
    </row>
    <row r="95" spans="1:16">
      <c r="B95" s="17">
        <v>28</v>
      </c>
      <c r="C95" s="15">
        <v>1</v>
      </c>
      <c r="D95" s="36">
        <f t="shared" si="15"/>
        <v>0</v>
      </c>
      <c r="E95" s="35">
        <f t="shared" si="16"/>
        <v>0</v>
      </c>
      <c r="F95" s="37" t="e">
        <f t="shared" si="17"/>
        <v>#DIV/0!</v>
      </c>
      <c r="G95" s="160" t="e">
        <f t="shared" si="18"/>
        <v>#DIV/0!</v>
      </c>
      <c r="I95" s="81" t="s">
        <v>349</v>
      </c>
      <c r="J95" s="9"/>
      <c r="K95" s="56"/>
      <c r="L95" s="56">
        <f>IFERROR((L73*K73+E73*D73+D88*E88+K88*L88)/D103,)</f>
        <v>0</v>
      </c>
      <c r="M95" s="82" t="s">
        <v>1</v>
      </c>
    </row>
    <row r="96" spans="1:16">
      <c r="B96" s="17">
        <v>35</v>
      </c>
      <c r="C96" s="22">
        <v>1.25</v>
      </c>
      <c r="D96" s="36">
        <f t="shared" si="15"/>
        <v>0</v>
      </c>
      <c r="E96" s="35">
        <f t="shared" si="16"/>
        <v>0</v>
      </c>
      <c r="F96" s="37" t="e">
        <f t="shared" si="17"/>
        <v>#DIV/0!</v>
      </c>
      <c r="G96" s="160" t="e">
        <f t="shared" si="18"/>
        <v>#DIV/0!</v>
      </c>
      <c r="I96" s="81" t="s">
        <v>289</v>
      </c>
      <c r="J96" s="9"/>
      <c r="K96" s="62"/>
      <c r="L96" s="62">
        <f>IFERROR(L94*1000/L95,)</f>
        <v>0</v>
      </c>
      <c r="M96" s="82" t="s">
        <v>288</v>
      </c>
    </row>
    <row r="97" spans="2:13">
      <c r="B97" s="17">
        <v>42</v>
      </c>
      <c r="C97" s="22">
        <v>1.5</v>
      </c>
      <c r="D97" s="36">
        <f t="shared" si="15"/>
        <v>0</v>
      </c>
      <c r="E97" s="35">
        <f t="shared" si="16"/>
        <v>0</v>
      </c>
      <c r="F97" s="37" t="e">
        <f t="shared" si="17"/>
        <v>#DIV/0!</v>
      </c>
      <c r="G97" s="160" t="e">
        <f t="shared" si="18"/>
        <v>#DIV/0!</v>
      </c>
      <c r="I97" s="88" t="s">
        <v>157</v>
      </c>
      <c r="J97" s="53"/>
      <c r="K97" s="54"/>
      <c r="L97" s="54" t="e">
        <f>+F103</f>
        <v>#DIV/0!</v>
      </c>
      <c r="M97" s="89" t="s">
        <v>32</v>
      </c>
    </row>
    <row r="98" spans="2:13">
      <c r="B98" s="17">
        <v>48</v>
      </c>
      <c r="C98" s="15">
        <v>2</v>
      </c>
      <c r="D98" s="36">
        <f t="shared" si="15"/>
        <v>0</v>
      </c>
      <c r="E98" s="35">
        <f t="shared" si="16"/>
        <v>0</v>
      </c>
      <c r="F98" s="37" t="e">
        <f t="shared" si="17"/>
        <v>#DIV/0!</v>
      </c>
      <c r="G98" s="160" t="e">
        <f t="shared" si="18"/>
        <v>#DIV/0!</v>
      </c>
      <c r="I98" s="81" t="s">
        <v>359</v>
      </c>
      <c r="J98" s="9"/>
      <c r="K98" s="51"/>
      <c r="L98" s="51" t="e">
        <f>L52+L97/$D$7*$D$9</f>
        <v>#DIV/0!</v>
      </c>
      <c r="M98" s="187" t="s">
        <v>32</v>
      </c>
    </row>
    <row r="99" spans="2:13">
      <c r="B99" s="17">
        <v>54</v>
      </c>
      <c r="C99" s="15">
        <v>2</v>
      </c>
      <c r="D99" s="36">
        <f t="shared" si="15"/>
        <v>0</v>
      </c>
      <c r="E99" s="35">
        <f t="shared" si="16"/>
        <v>0</v>
      </c>
      <c r="F99" s="37" t="e">
        <f t="shared" si="17"/>
        <v>#DIV/0!</v>
      </c>
      <c r="G99" s="160" t="e">
        <f t="shared" si="18"/>
        <v>#DIV/0!</v>
      </c>
      <c r="I99" s="81" t="s">
        <v>363</v>
      </c>
      <c r="J99" s="9"/>
      <c r="K99" s="51"/>
      <c r="L99" s="51" t="e">
        <f>+L97*$D$11+L98*$D$12</f>
        <v>#DIV/0!</v>
      </c>
      <c r="M99" s="82" t="s">
        <v>37</v>
      </c>
    </row>
    <row r="100" spans="2:13" ht="15" thickBot="1">
      <c r="B100" s="17">
        <v>64</v>
      </c>
      <c r="C100" s="22">
        <v>2.5</v>
      </c>
      <c r="D100" s="36">
        <f t="shared" si="15"/>
        <v>0</v>
      </c>
      <c r="E100" s="35">
        <f t="shared" si="16"/>
        <v>0</v>
      </c>
      <c r="F100" s="37" t="e">
        <f t="shared" si="17"/>
        <v>#DIV/0!</v>
      </c>
      <c r="G100" s="160" t="e">
        <f t="shared" si="18"/>
        <v>#DIV/0!</v>
      </c>
      <c r="I100" s="83" t="s">
        <v>364</v>
      </c>
      <c r="J100" s="84"/>
      <c r="K100" s="85"/>
      <c r="L100" s="85" t="e">
        <f>+L97*$D$13+L98*$D$14</f>
        <v>#DIV/0!</v>
      </c>
      <c r="M100" s="188" t="s">
        <v>65</v>
      </c>
    </row>
    <row r="101" spans="2:13">
      <c r="B101" s="17">
        <v>80</v>
      </c>
      <c r="C101" s="15">
        <v>3</v>
      </c>
      <c r="D101" s="36">
        <f t="shared" si="15"/>
        <v>0</v>
      </c>
      <c r="E101" s="35">
        <f t="shared" si="16"/>
        <v>0</v>
      </c>
      <c r="F101" s="37" t="e">
        <f t="shared" si="17"/>
        <v>#DIV/0!</v>
      </c>
      <c r="G101" s="160" t="e">
        <f t="shared" si="18"/>
        <v>#DIV/0!</v>
      </c>
    </row>
    <row r="102" spans="2:13">
      <c r="B102" s="17">
        <v>100</v>
      </c>
      <c r="C102" s="15">
        <v>4</v>
      </c>
      <c r="D102" s="36">
        <f t="shared" si="15"/>
        <v>0</v>
      </c>
      <c r="E102" s="35">
        <f t="shared" si="16"/>
        <v>0</v>
      </c>
      <c r="F102" s="37" t="e">
        <f t="shared" si="17"/>
        <v>#DIV/0!</v>
      </c>
      <c r="G102" s="160" t="e">
        <f t="shared" si="18"/>
        <v>#DIV/0!</v>
      </c>
    </row>
    <row r="103" spans="2:13">
      <c r="B103" s="90" t="s">
        <v>24</v>
      </c>
      <c r="C103" s="57"/>
      <c r="D103" s="58">
        <f>SUM(D93:D102)</f>
        <v>0</v>
      </c>
      <c r="E103" s="59">
        <f>SUM(E93:E102)</f>
        <v>0</v>
      </c>
      <c r="F103" s="60" t="e">
        <f>SUM(F93:F102)</f>
        <v>#DIV/0!</v>
      </c>
      <c r="G103" s="161" t="e">
        <f>SUM(G93:G102)</f>
        <v>#DIV/0!</v>
      </c>
    </row>
    <row r="105" spans="2:13">
      <c r="B105" s="1" t="s">
        <v>924</v>
      </c>
      <c r="C105" s="1"/>
      <c r="D105" s="1"/>
      <c r="E105" s="1"/>
      <c r="F105" s="1"/>
      <c r="G105" s="1"/>
      <c r="H105" s="1"/>
      <c r="I105" s="1"/>
      <c r="J105" s="1"/>
      <c r="K105" s="1"/>
      <c r="L105" s="1"/>
      <c r="M105" s="1"/>
    </row>
    <row r="106" spans="2:13">
      <c r="B106" s="3" t="s">
        <v>430</v>
      </c>
      <c r="D106" s="154">
        <f>+DADES_ACTUAL!D68</f>
        <v>0</v>
      </c>
      <c r="E106" s="3" t="s">
        <v>43</v>
      </c>
    </row>
    <row r="107" spans="2:13">
      <c r="B107" s="3" t="s">
        <v>419</v>
      </c>
      <c r="D107" s="154">
        <f>+DADES_ACTUAL!D69</f>
        <v>0</v>
      </c>
      <c r="E107" s="3" t="s">
        <v>37</v>
      </c>
    </row>
    <row r="108" spans="2:13">
      <c r="B108" s="3" t="s">
        <v>420</v>
      </c>
      <c r="D108" s="154">
        <f>+DADES_ACTUAL!D70</f>
        <v>0</v>
      </c>
      <c r="E108" s="3" t="s">
        <v>421</v>
      </c>
    </row>
    <row r="109" spans="2:13">
      <c r="B109" s="3" t="s">
        <v>423</v>
      </c>
      <c r="D109" s="39" t="e">
        <f>+J13</f>
        <v>#DIV/0!</v>
      </c>
      <c r="E109" s="3" t="s">
        <v>37</v>
      </c>
      <c r="F109" s="11" t="s">
        <v>958</v>
      </c>
      <c r="G109" s="17" t="s">
        <v>957</v>
      </c>
    </row>
    <row r="110" spans="2:13">
      <c r="B110" s="3" t="s">
        <v>956</v>
      </c>
      <c r="D110" s="39" t="e">
        <f>+D26+D45+L97*H54</f>
        <v>#DIV/0!</v>
      </c>
      <c r="E110" s="3" t="s">
        <v>32</v>
      </c>
      <c r="F110" s="11" t="s">
        <v>953</v>
      </c>
      <c r="G110" s="192" t="e">
        <f>+D109/J15</f>
        <v>#DIV/0!</v>
      </c>
    </row>
    <row r="111" spans="2:13">
      <c r="B111" s="3" t="s">
        <v>425</v>
      </c>
      <c r="D111" s="237" t="e">
        <f>+D109/D110</f>
        <v>#DIV/0!</v>
      </c>
      <c r="E111" s="3" t="s">
        <v>424</v>
      </c>
      <c r="F111" s="11" t="s">
        <v>951</v>
      </c>
      <c r="G111" s="192" t="e">
        <f>+D107/J15</f>
        <v>#DIV/0!</v>
      </c>
    </row>
    <row r="112" spans="2:13">
      <c r="B112" s="3" t="s">
        <v>422</v>
      </c>
      <c r="D112" s="237" t="e">
        <f>+(D106/D108+D107+D109)/D110</f>
        <v>#DIV/0!</v>
      </c>
      <c r="E112" s="3" t="s">
        <v>4</v>
      </c>
      <c r="F112" s="11" t="s">
        <v>954</v>
      </c>
      <c r="G112" s="192" t="e">
        <f>+D106/D108/J15</f>
        <v>#DIV/0!</v>
      </c>
    </row>
    <row r="113" spans="1:12">
      <c r="B113" s="3" t="s">
        <v>950</v>
      </c>
      <c r="D113" s="237" t="e">
        <f>+(D106/D108+D107+D109)/J15</f>
        <v>#DIV/0!</v>
      </c>
      <c r="E113" s="3" t="s">
        <v>155</v>
      </c>
      <c r="F113" s="11" t="s">
        <v>950</v>
      </c>
      <c r="G113" s="192" t="e">
        <f>SUM(G110:G112)</f>
        <v>#DIV/0!</v>
      </c>
    </row>
    <row r="114" spans="1:12">
      <c r="D114" s="242"/>
    </row>
    <row r="115" spans="1:12" ht="18">
      <c r="A115" s="216"/>
      <c r="B115" s="216"/>
      <c r="C115" s="217" t="s">
        <v>390</v>
      </c>
      <c r="D115" s="216"/>
      <c r="E115" s="216"/>
      <c r="F115" s="216"/>
      <c r="G115" s="216"/>
      <c r="H115" s="216"/>
      <c r="I115" s="216"/>
      <c r="J115" s="216"/>
      <c r="K115" s="216"/>
      <c r="L115" s="216"/>
    </row>
    <row r="116" spans="1:12">
      <c r="B116" s="129" t="s">
        <v>392</v>
      </c>
      <c r="C116" s="42"/>
      <c r="D116" s="42"/>
      <c r="E116" s="42"/>
      <c r="F116" s="42"/>
      <c r="G116" s="42"/>
      <c r="H116" s="42"/>
      <c r="I116" s="42"/>
      <c r="J116" s="42"/>
      <c r="K116" s="42"/>
    </row>
    <row r="117" spans="1:12">
      <c r="B117" s="3" t="s">
        <v>95</v>
      </c>
    </row>
    <row r="118" spans="1:12">
      <c r="B118" s="3" t="s">
        <v>96</v>
      </c>
      <c r="D118" s="153">
        <f>+DADES_ACTUAL!D76</f>
        <v>0</v>
      </c>
      <c r="E118" s="3" t="s">
        <v>88</v>
      </c>
    </row>
    <row r="119" spans="1:12">
      <c r="B119" s="3" t="s">
        <v>104</v>
      </c>
      <c r="D119" s="39">
        <f>IFERROR((D46/D$44+L97/$H$51)*D118,)</f>
        <v>0</v>
      </c>
      <c r="E119" s="3" t="s">
        <v>32</v>
      </c>
      <c r="G119" s="126"/>
    </row>
    <row r="120" spans="1:12">
      <c r="B120" s="3" t="s">
        <v>272</v>
      </c>
      <c r="D120" s="39">
        <f>IFERROR((D47/$D$44+L98/$H$51)*D118,)</f>
        <v>0</v>
      </c>
      <c r="E120" s="3" t="s">
        <v>32</v>
      </c>
      <c r="G120" s="126"/>
    </row>
    <row r="121" spans="1:12">
      <c r="B121" s="3" t="s">
        <v>273</v>
      </c>
      <c r="D121" s="39">
        <f>+D119+D120</f>
        <v>0</v>
      </c>
      <c r="E121" s="3" t="s">
        <v>32</v>
      </c>
    </row>
    <row r="122" spans="1:12">
      <c r="B122" s="3" t="s">
        <v>99</v>
      </c>
      <c r="D122" s="39">
        <f>+D119*$D$11+D120*$D$12</f>
        <v>0</v>
      </c>
      <c r="E122" s="3" t="s">
        <v>37</v>
      </c>
    </row>
    <row r="123" spans="1:12">
      <c r="B123" s="3" t="s">
        <v>100</v>
      </c>
      <c r="D123" s="39" t="e">
        <f>+D119*$D$13+D120*$D$14</f>
        <v>#N/A</v>
      </c>
      <c r="E123" s="7" t="s">
        <v>98</v>
      </c>
    </row>
    <row r="124" spans="1:12">
      <c r="B124" s="3" t="s">
        <v>135</v>
      </c>
      <c r="D124" s="153">
        <f>+DADES_ACTUAL!D77</f>
        <v>0</v>
      </c>
      <c r="E124" s="3" t="s">
        <v>43</v>
      </c>
    </row>
    <row r="125" spans="1:12">
      <c r="B125" s="3" t="s">
        <v>136</v>
      </c>
      <c r="D125" s="3">
        <f>IFERROR(D124/D122*12,)</f>
        <v>0</v>
      </c>
      <c r="E125" s="3" t="s">
        <v>137</v>
      </c>
    </row>
    <row r="126" spans="1:12">
      <c r="B126" s="129" t="s">
        <v>391</v>
      </c>
      <c r="C126" s="42"/>
      <c r="D126" s="42"/>
      <c r="E126" s="42"/>
      <c r="F126" s="42"/>
      <c r="G126" s="42"/>
      <c r="H126" s="42"/>
      <c r="I126" s="42"/>
      <c r="J126" s="42"/>
      <c r="K126" s="42"/>
    </row>
    <row r="127" spans="1:12">
      <c r="B127" s="3" t="s">
        <v>101</v>
      </c>
      <c r="D127" s="163">
        <f>+DADES_ACTUAL!D80</f>
        <v>0</v>
      </c>
    </row>
    <row r="128" spans="1:12">
      <c r="B128" s="2" t="s">
        <v>104</v>
      </c>
      <c r="D128" s="44" t="e">
        <f>+D127*D27</f>
        <v>#DIV/0!</v>
      </c>
      <c r="E128" s="2" t="s">
        <v>32</v>
      </c>
    </row>
    <row r="129" spans="2:11">
      <c r="B129" s="3" t="s">
        <v>99</v>
      </c>
      <c r="D129" s="39" t="e">
        <f>+D128*$D$11</f>
        <v>#DIV/0!</v>
      </c>
      <c r="E129" s="3" t="s">
        <v>37</v>
      </c>
    </row>
    <row r="130" spans="2:11">
      <c r="B130" s="3" t="s">
        <v>100</v>
      </c>
      <c r="D130" s="39" t="e">
        <f>+D128*CO2_combus</f>
        <v>#DIV/0!</v>
      </c>
      <c r="E130" s="7" t="s">
        <v>98</v>
      </c>
    </row>
    <row r="131" spans="2:11">
      <c r="B131" s="3" t="s">
        <v>135</v>
      </c>
      <c r="D131" s="153">
        <f>+DADES_ACTUAL!D81</f>
        <v>0</v>
      </c>
      <c r="E131" s="3" t="s">
        <v>43</v>
      </c>
    </row>
    <row r="132" spans="2:11">
      <c r="B132" s="3" t="s">
        <v>136</v>
      </c>
      <c r="D132" s="41">
        <f>IFERROR(D131/D129*12,0)</f>
        <v>0</v>
      </c>
      <c r="E132" s="3" t="s">
        <v>137</v>
      </c>
    </row>
    <row r="133" spans="2:11">
      <c r="B133" s="129" t="s">
        <v>393</v>
      </c>
      <c r="C133" s="42"/>
      <c r="D133" s="42"/>
      <c r="E133" s="42"/>
      <c r="F133" s="42"/>
      <c r="G133" s="42"/>
      <c r="H133" s="42"/>
      <c r="I133" s="42"/>
      <c r="J133" s="42"/>
      <c r="K133" s="42"/>
    </row>
    <row r="134" spans="2:11">
      <c r="B134" s="3" t="s">
        <v>131</v>
      </c>
      <c r="D134" s="153">
        <f>+DADES_ACTUAL!D87</f>
        <v>0</v>
      </c>
      <c r="E134" s="3" t="s">
        <v>1</v>
      </c>
      <c r="G134" s="108"/>
    </row>
    <row r="135" spans="2:11">
      <c r="B135" s="3" t="s">
        <v>113</v>
      </c>
      <c r="D135" s="23">
        <f>IF(D134&lt;=0,D42,D39*(D134-D41))</f>
        <v>0</v>
      </c>
      <c r="E135" s="3" t="s">
        <v>112</v>
      </c>
    </row>
    <row r="136" spans="2:11">
      <c r="B136" s="3" t="s">
        <v>271</v>
      </c>
      <c r="D136" s="107">
        <f>+D135*0.024</f>
        <v>0</v>
      </c>
      <c r="E136" s="3" t="s">
        <v>74</v>
      </c>
    </row>
    <row r="137" spans="2:11">
      <c r="B137" s="3" t="s">
        <v>102</v>
      </c>
      <c r="D137" s="39" t="e">
        <f>+D136*D44/$D$8</f>
        <v>#DIV/0!</v>
      </c>
      <c r="E137" s="3" t="s">
        <v>32</v>
      </c>
    </row>
    <row r="138" spans="2:11">
      <c r="B138" s="3" t="s">
        <v>376</v>
      </c>
      <c r="D138" s="39" t="e">
        <f>(D137/$D$7+D44*0.17)*$D$9</f>
        <v>#DIV/0!</v>
      </c>
      <c r="E138" s="3" t="s">
        <v>32</v>
      </c>
    </row>
    <row r="139" spans="2:11">
      <c r="B139" s="3" t="s">
        <v>104</v>
      </c>
      <c r="D139" s="39" t="e">
        <f>+D46-D137</f>
        <v>#DIV/0!</v>
      </c>
      <c r="E139" s="3" t="s">
        <v>32</v>
      </c>
    </row>
    <row r="140" spans="2:11">
      <c r="B140" s="3" t="s">
        <v>272</v>
      </c>
      <c r="D140" s="39" t="e">
        <f>+D47-D138</f>
        <v>#DIV/0!</v>
      </c>
      <c r="E140" s="3" t="s">
        <v>32</v>
      </c>
    </row>
    <row r="141" spans="2:11">
      <c r="B141" s="2" t="s">
        <v>273</v>
      </c>
      <c r="C141" s="2"/>
      <c r="D141" s="44" t="e">
        <f>+D139+D140</f>
        <v>#DIV/0!</v>
      </c>
      <c r="E141" s="2" t="s">
        <v>32</v>
      </c>
      <c r="F141" s="124" t="e">
        <f>+D141/D46</f>
        <v>#DIV/0!</v>
      </c>
    </row>
    <row r="142" spans="2:11">
      <c r="B142" s="3" t="s">
        <v>99</v>
      </c>
      <c r="D142" s="39" t="e">
        <f>+D139*$D$11+D140*$D$12</f>
        <v>#DIV/0!</v>
      </c>
      <c r="E142" s="3" t="s">
        <v>37</v>
      </c>
      <c r="F142" s="40"/>
    </row>
    <row r="143" spans="2:11">
      <c r="B143" s="3" t="s">
        <v>100</v>
      </c>
      <c r="D143" s="39" t="e">
        <f>+D139*$D$13+D140*$D$14</f>
        <v>#DIV/0!</v>
      </c>
      <c r="E143" s="7" t="s">
        <v>98</v>
      </c>
    </row>
    <row r="144" spans="2:11">
      <c r="C144" s="141" t="s">
        <v>134</v>
      </c>
      <c r="D144" s="23" t="e">
        <f>+D141/($D$40-$D$134)</f>
        <v>#DIV/0!</v>
      </c>
      <c r="E144" s="3" t="s">
        <v>132</v>
      </c>
    </row>
    <row r="145" spans="1:16">
      <c r="D145" s="23" t="e">
        <f>+D142/($D$40-$D$134)</f>
        <v>#DIV/0!</v>
      </c>
      <c r="E145" s="3" t="s">
        <v>133</v>
      </c>
    </row>
    <row r="146" spans="1:16">
      <c r="B146" s="3" t="s">
        <v>135</v>
      </c>
      <c r="D146" s="153">
        <f>+DADES_ACTUAL!D88</f>
        <v>0</v>
      </c>
      <c r="E146" s="3" t="s">
        <v>43</v>
      </c>
    </row>
    <row r="147" spans="1:16">
      <c r="B147" s="3" t="s">
        <v>136</v>
      </c>
      <c r="D147" s="41">
        <f>IFERROR(D146/D142*12,)</f>
        <v>0</v>
      </c>
      <c r="E147" s="3" t="s">
        <v>137</v>
      </c>
    </row>
    <row r="148" spans="1:16">
      <c r="B148" s="129" t="s">
        <v>395</v>
      </c>
      <c r="C148" s="42"/>
      <c r="D148" s="42"/>
      <c r="E148" s="42"/>
      <c r="F148" s="42"/>
      <c r="G148" s="42"/>
      <c r="H148" s="42"/>
      <c r="I148" s="42"/>
      <c r="J148" s="42"/>
      <c r="K148" s="42"/>
      <c r="L148" s="42"/>
      <c r="M148" s="42"/>
      <c r="N148" s="42"/>
      <c r="O148" s="42"/>
      <c r="P148" s="42"/>
    </row>
    <row r="149" spans="1:16" ht="43.2">
      <c r="B149" s="11"/>
      <c r="C149" s="15" t="s">
        <v>270</v>
      </c>
      <c r="D149" s="15" t="s">
        <v>368</v>
      </c>
      <c r="E149" s="15" t="s">
        <v>369</v>
      </c>
      <c r="F149" s="15" t="s">
        <v>372</v>
      </c>
      <c r="G149" s="190" t="s">
        <v>373</v>
      </c>
    </row>
    <row r="150" spans="1:16">
      <c r="B150" s="11" t="s">
        <v>268</v>
      </c>
      <c r="C150" s="193">
        <f>+D51</f>
        <v>0</v>
      </c>
      <c r="D150" s="35">
        <f>+L94</f>
        <v>0</v>
      </c>
      <c r="E150" s="192" t="str">
        <f>+L54</f>
        <v>falta cabal</v>
      </c>
      <c r="F150" s="191" t="e">
        <f>+L97</f>
        <v>#DIV/0!</v>
      </c>
      <c r="G150" s="195" t="e">
        <f>+L98</f>
        <v>#DIV/0!</v>
      </c>
    </row>
    <row r="151" spans="1:16">
      <c r="B151" s="11" t="s">
        <v>269</v>
      </c>
      <c r="C151" s="194">
        <f>+DADES_ACTUAL!D95</f>
        <v>0</v>
      </c>
      <c r="D151" s="35">
        <f>IF(C151&lt;=0,0,+G174+G189+P189)</f>
        <v>0</v>
      </c>
      <c r="E151" s="192" t="str">
        <f>IFERROR(C151-(L94/(L53/860)),"falta cabal")</f>
        <v>falta cabal</v>
      </c>
      <c r="F151" s="191">
        <f>IF(C151&lt;=0,0,(G174+P174+G189+P189)*$H$53/$H$54)</f>
        <v>0</v>
      </c>
      <c r="G151" s="195" t="e">
        <f>$L$52+F151/$D$7*$D$9</f>
        <v>#DIV/0!</v>
      </c>
    </row>
    <row r="152" spans="1:16">
      <c r="B152" s="11" t="s">
        <v>374</v>
      </c>
      <c r="C152" s="11"/>
      <c r="D152" s="11"/>
      <c r="E152" s="11"/>
      <c r="F152" s="195">
        <f>IF(C151&lt;=0,0,F150-F151)</f>
        <v>0</v>
      </c>
      <c r="G152" s="195">
        <f>IF(C151&lt;=0,0,G150-G151)</f>
        <v>0</v>
      </c>
    </row>
    <row r="153" spans="1:16">
      <c r="B153" s="3" t="s">
        <v>375</v>
      </c>
      <c r="D153" s="39">
        <f>+F152+G152</f>
        <v>0</v>
      </c>
      <c r="E153" s="3" t="s">
        <v>32</v>
      </c>
      <c r="G153" s="16"/>
    </row>
    <row r="154" spans="1:16">
      <c r="D154" s="40" t="e">
        <f>+D153/(F150+G150)</f>
        <v>#DIV/0!</v>
      </c>
      <c r="G154" s="16"/>
    </row>
    <row r="155" spans="1:16">
      <c r="B155" s="3" t="s">
        <v>91</v>
      </c>
      <c r="D155" s="39">
        <f>+F152*$D$11+G152*$D$12</f>
        <v>0</v>
      </c>
      <c r="E155" s="3" t="s">
        <v>37</v>
      </c>
      <c r="G155" s="16"/>
    </row>
    <row r="156" spans="1:16">
      <c r="B156" s="3" t="s">
        <v>51</v>
      </c>
      <c r="D156" s="39" t="e">
        <f>+F152*$D$13+G152*$D$14</f>
        <v>#N/A</v>
      </c>
      <c r="E156" s="3" t="s">
        <v>65</v>
      </c>
    </row>
    <row r="157" spans="1:16">
      <c r="B157" s="3" t="s">
        <v>135</v>
      </c>
      <c r="D157" s="153">
        <f>+DADES_ACTUAL!D96</f>
        <v>0</v>
      </c>
      <c r="E157" s="3" t="s">
        <v>43</v>
      </c>
    </row>
    <row r="158" spans="1:16">
      <c r="B158" s="3" t="s">
        <v>136</v>
      </c>
      <c r="D158" s="23">
        <f>IFERROR(D157/D155*12,)</f>
        <v>0</v>
      </c>
      <c r="E158" s="3" t="s">
        <v>137</v>
      </c>
    </row>
    <row r="160" spans="1:16">
      <c r="A160" s="4"/>
      <c r="B160" s="575" t="s">
        <v>318</v>
      </c>
      <c r="C160" s="575"/>
      <c r="D160" s="575"/>
      <c r="E160" s="575"/>
      <c r="F160" s="575"/>
      <c r="G160" s="575"/>
      <c r="H160" s="4"/>
      <c r="I160" s="574" t="s">
        <v>339</v>
      </c>
      <c r="J160" s="574"/>
      <c r="K160" s="574"/>
      <c r="L160" s="574"/>
      <c r="M160" s="574"/>
      <c r="N160" s="574"/>
      <c r="O160" s="574"/>
      <c r="P160" s="574"/>
    </row>
    <row r="161" spans="1:17">
      <c r="A161" s="576" t="s">
        <v>320</v>
      </c>
      <c r="B161" s="3" t="s">
        <v>311</v>
      </c>
      <c r="I161" s="3" t="s">
        <v>313</v>
      </c>
    </row>
    <row r="162" spans="1:17" ht="43.2">
      <c r="A162" s="576"/>
      <c r="B162" s="13" t="s">
        <v>9</v>
      </c>
      <c r="C162" s="14"/>
      <c r="D162" s="15" t="s">
        <v>12</v>
      </c>
      <c r="E162" s="15" t="s">
        <v>13</v>
      </c>
      <c r="F162" s="15" t="s">
        <v>14</v>
      </c>
      <c r="G162" s="15" t="s">
        <v>15</v>
      </c>
      <c r="I162" s="13" t="s">
        <v>9</v>
      </c>
      <c r="J162" s="14"/>
      <c r="K162" s="15" t="s">
        <v>27</v>
      </c>
      <c r="L162" s="15" t="s">
        <v>13</v>
      </c>
      <c r="M162" s="15" t="s">
        <v>28</v>
      </c>
      <c r="N162" s="13" t="s">
        <v>29</v>
      </c>
      <c r="O162" s="28"/>
      <c r="P162" s="15" t="s">
        <v>15</v>
      </c>
      <c r="Q162"/>
    </row>
    <row r="163" spans="1:17">
      <c r="A163" s="576"/>
      <c r="B163" s="17" t="s">
        <v>16</v>
      </c>
      <c r="C163" s="17" t="s">
        <v>17</v>
      </c>
      <c r="D163" s="17" t="s">
        <v>18</v>
      </c>
      <c r="E163" s="17" t="s">
        <v>1</v>
      </c>
      <c r="F163" s="17" t="s">
        <v>19</v>
      </c>
      <c r="G163" s="17" t="s">
        <v>20</v>
      </c>
      <c r="I163" s="17" t="s">
        <v>16</v>
      </c>
      <c r="J163" s="17" t="s">
        <v>17</v>
      </c>
      <c r="K163" s="17" t="s">
        <v>18</v>
      </c>
      <c r="L163" s="17" t="s">
        <v>1</v>
      </c>
      <c r="M163" s="17" t="s">
        <v>16</v>
      </c>
      <c r="N163" s="17" t="s">
        <v>31</v>
      </c>
      <c r="O163" s="17" t="s">
        <v>19</v>
      </c>
      <c r="P163" s="17" t="s">
        <v>20</v>
      </c>
    </row>
    <row r="164" spans="1:17">
      <c r="A164" s="576"/>
      <c r="B164" s="17">
        <v>15</v>
      </c>
      <c r="C164" s="19" t="s">
        <v>22</v>
      </c>
      <c r="D164" s="36">
        <f t="shared" ref="D164:D173" si="19">+D63</f>
        <v>0</v>
      </c>
      <c r="E164" s="30">
        <f t="shared" ref="E164:E173" si="20">+$C$151-$D$54</f>
        <v>0</v>
      </c>
      <c r="F164" s="20">
        <f>IFERROR(VLOOKUP(E164,perdues_sense_aillar,2),)</f>
        <v>0</v>
      </c>
      <c r="G164" s="35">
        <f t="shared" ref="G164" si="21">+F164*D164/1000</f>
        <v>0</v>
      </c>
      <c r="I164" s="17">
        <v>15</v>
      </c>
      <c r="J164" s="19" t="s">
        <v>22</v>
      </c>
      <c r="K164" s="36">
        <f t="shared" ref="K164:K173" si="22">+K63</f>
        <v>0</v>
      </c>
      <c r="L164" s="30">
        <f t="shared" ref="L164:L173" si="23">+$C$151-$D$54</f>
        <v>0</v>
      </c>
      <c r="M164" s="36">
        <f t="shared" ref="M164:M173" si="24">+M63</f>
        <v>0</v>
      </c>
      <c r="N164" s="162" cm="1">
        <f t="array" ref="N164">IFERROR(VLOOKUP(I164,perdues_amb_aillament,_xlfn.IFS(M164=20,3,M164=25,4,M164=30,5,M164=35,6,M164=40,7,M164=45,8,M164=50,9,M164=55,10)),)</f>
        <v>0</v>
      </c>
      <c r="O164" s="30">
        <f>+N164*L164</f>
        <v>0</v>
      </c>
      <c r="P164" s="35">
        <f>+O164*K164/1000</f>
        <v>0</v>
      </c>
    </row>
    <row r="165" spans="1:17">
      <c r="A165" s="576"/>
      <c r="B165" s="17">
        <v>22</v>
      </c>
      <c r="C165" s="21" t="s">
        <v>23</v>
      </c>
      <c r="D165" s="36">
        <f t="shared" si="19"/>
        <v>0</v>
      </c>
      <c r="E165" s="30">
        <f t="shared" si="20"/>
        <v>0</v>
      </c>
      <c r="F165" s="17">
        <f>IFERROR(VLOOKUP(E165,perdues_sense_aillar,3),)</f>
        <v>0</v>
      </c>
      <c r="G165" s="35">
        <f>+F165*D165/1000</f>
        <v>0</v>
      </c>
      <c r="I165" s="17">
        <v>22</v>
      </c>
      <c r="J165" s="21" t="s">
        <v>23</v>
      </c>
      <c r="K165" s="36">
        <f t="shared" si="22"/>
        <v>0</v>
      </c>
      <c r="L165" s="30">
        <f t="shared" si="23"/>
        <v>0</v>
      </c>
      <c r="M165" s="36">
        <f t="shared" si="24"/>
        <v>0</v>
      </c>
      <c r="N165" s="162" cm="1">
        <f t="array" ref="N165">IFERROR(VLOOKUP(I165,perdues_amb_aillament,_xlfn.IFS(M165=20,3,M165=25,4,M165=30,5,M165=35,6,M165=40,7,M165=45,8,M165=50,9,M165=55,10)),)</f>
        <v>0</v>
      </c>
      <c r="O165" s="30">
        <f t="shared" ref="O165:O173" si="25">+N165*L165</f>
        <v>0</v>
      </c>
      <c r="P165" s="35">
        <f t="shared" ref="P165:P173" si="26">+O165*K165/1000</f>
        <v>0</v>
      </c>
    </row>
    <row r="166" spans="1:17">
      <c r="A166" s="576"/>
      <c r="B166" s="17">
        <v>28</v>
      </c>
      <c r="C166" s="15">
        <v>1</v>
      </c>
      <c r="D166" s="36">
        <f t="shared" si="19"/>
        <v>0</v>
      </c>
      <c r="E166" s="30">
        <f t="shared" si="20"/>
        <v>0</v>
      </c>
      <c r="F166" s="17">
        <f>IFERROR(VLOOKUP(E166,perdues_sense_aillar,4),)</f>
        <v>0</v>
      </c>
      <c r="G166" s="35">
        <f t="shared" ref="G166:G173" si="27">+F166*D166/1000</f>
        <v>0</v>
      </c>
      <c r="I166" s="17">
        <v>28</v>
      </c>
      <c r="J166" s="15">
        <v>1</v>
      </c>
      <c r="K166" s="36">
        <f t="shared" si="22"/>
        <v>0</v>
      </c>
      <c r="L166" s="30">
        <f t="shared" si="23"/>
        <v>0</v>
      </c>
      <c r="M166" s="36">
        <f t="shared" si="24"/>
        <v>0</v>
      </c>
      <c r="N166" s="162" cm="1">
        <f t="array" ref="N166">IFERROR(VLOOKUP(I166,perdues_amb_aillament,_xlfn.IFS(M166=20,3,M166=25,4,M166=30,5,M166=35,6,M166=40,7,M166=45,8,M166=50,9,M166=55,10)),)</f>
        <v>0</v>
      </c>
      <c r="O166" s="30">
        <f t="shared" si="25"/>
        <v>0</v>
      </c>
      <c r="P166" s="35">
        <f t="shared" si="26"/>
        <v>0</v>
      </c>
    </row>
    <row r="167" spans="1:17">
      <c r="A167" s="576"/>
      <c r="B167" s="17">
        <v>35</v>
      </c>
      <c r="C167" s="22">
        <v>1.25</v>
      </c>
      <c r="D167" s="36">
        <f t="shared" si="19"/>
        <v>0</v>
      </c>
      <c r="E167" s="30">
        <f t="shared" si="20"/>
        <v>0</v>
      </c>
      <c r="F167" s="17">
        <f>IFERROR(VLOOKUP(E167,perdues_sense_aillar,5),)</f>
        <v>0</v>
      </c>
      <c r="G167" s="35">
        <f t="shared" si="27"/>
        <v>0</v>
      </c>
      <c r="I167" s="17">
        <v>35</v>
      </c>
      <c r="J167" s="22">
        <v>1.25</v>
      </c>
      <c r="K167" s="36">
        <f t="shared" si="22"/>
        <v>0</v>
      </c>
      <c r="L167" s="30">
        <f t="shared" si="23"/>
        <v>0</v>
      </c>
      <c r="M167" s="36">
        <f t="shared" si="24"/>
        <v>0</v>
      </c>
      <c r="N167" s="162" cm="1">
        <f t="array" ref="N167">IFERROR(VLOOKUP(I167,perdues_amb_aillament,_xlfn.IFS(M167=20,3,M167=25,4,M167=30,5,M167=35,6,M167=40,7,M167=45,8,M167=50,9,M167=55,10)),)</f>
        <v>0</v>
      </c>
      <c r="O167" s="30">
        <f t="shared" si="25"/>
        <v>0</v>
      </c>
      <c r="P167" s="35">
        <f t="shared" si="26"/>
        <v>0</v>
      </c>
    </row>
    <row r="168" spans="1:17">
      <c r="A168" s="576"/>
      <c r="B168" s="17">
        <v>42</v>
      </c>
      <c r="C168" s="22">
        <v>1.5</v>
      </c>
      <c r="D168" s="36">
        <f t="shared" si="19"/>
        <v>0</v>
      </c>
      <c r="E168" s="30">
        <f t="shared" si="20"/>
        <v>0</v>
      </c>
      <c r="F168" s="17">
        <f>IFERROR(VLOOKUP(E168,perdues_sense_aillar,6),)</f>
        <v>0</v>
      </c>
      <c r="G168" s="35">
        <f t="shared" si="27"/>
        <v>0</v>
      </c>
      <c r="I168" s="17">
        <v>42</v>
      </c>
      <c r="J168" s="22">
        <v>1.5</v>
      </c>
      <c r="K168" s="36">
        <f t="shared" si="22"/>
        <v>0</v>
      </c>
      <c r="L168" s="30">
        <f t="shared" si="23"/>
        <v>0</v>
      </c>
      <c r="M168" s="36">
        <f t="shared" si="24"/>
        <v>0</v>
      </c>
      <c r="N168" s="162" cm="1">
        <f t="array" ref="N168">IFERROR(VLOOKUP(I168,perdues_amb_aillament,_xlfn.IFS(M168=20,3,M168=25,4,M168=30,5,M168=35,6,M168=40,7,M168=45,8,M168=50,9,M168=55,10)),)</f>
        <v>0</v>
      </c>
      <c r="O168" s="30">
        <f t="shared" si="25"/>
        <v>0</v>
      </c>
      <c r="P168" s="35">
        <f t="shared" si="26"/>
        <v>0</v>
      </c>
    </row>
    <row r="169" spans="1:17">
      <c r="A169" s="576"/>
      <c r="B169" s="17">
        <v>48</v>
      </c>
      <c r="C169" s="15">
        <v>2</v>
      </c>
      <c r="D169" s="36">
        <f t="shared" si="19"/>
        <v>0</v>
      </c>
      <c r="E169" s="30">
        <f t="shared" si="20"/>
        <v>0</v>
      </c>
      <c r="F169" s="17">
        <f>IFERROR(VLOOKUP(E169,perdues_sense_aillar,7),)</f>
        <v>0</v>
      </c>
      <c r="G169" s="35">
        <f t="shared" si="27"/>
        <v>0</v>
      </c>
      <c r="I169" s="17">
        <v>48</v>
      </c>
      <c r="J169" s="15">
        <v>2</v>
      </c>
      <c r="K169" s="36">
        <f t="shared" si="22"/>
        <v>0</v>
      </c>
      <c r="L169" s="30">
        <f t="shared" si="23"/>
        <v>0</v>
      </c>
      <c r="M169" s="36">
        <f t="shared" si="24"/>
        <v>0</v>
      </c>
      <c r="N169" s="162" cm="1">
        <f t="array" ref="N169">IFERROR(VLOOKUP(I169,perdues_amb_aillament,_xlfn.IFS(M169=20,3,M169=25,4,M169=30,5,M169=35,6,M169=40,7,M169=45,8,M169=50,9,M169=55,10)),)</f>
        <v>0</v>
      </c>
      <c r="O169" s="30">
        <f t="shared" si="25"/>
        <v>0</v>
      </c>
      <c r="P169" s="35">
        <f t="shared" si="26"/>
        <v>0</v>
      </c>
    </row>
    <row r="170" spans="1:17">
      <c r="A170" s="576"/>
      <c r="B170" s="17">
        <v>54</v>
      </c>
      <c r="C170" s="15">
        <v>2</v>
      </c>
      <c r="D170" s="36">
        <f t="shared" si="19"/>
        <v>0</v>
      </c>
      <c r="E170" s="30">
        <f t="shared" si="20"/>
        <v>0</v>
      </c>
      <c r="F170" s="17">
        <f>IFERROR(VLOOKUP(E170,perdues_sense_aillar,7),)</f>
        <v>0</v>
      </c>
      <c r="G170" s="35">
        <f t="shared" si="27"/>
        <v>0</v>
      </c>
      <c r="I170" s="17">
        <v>54</v>
      </c>
      <c r="J170" s="15">
        <v>2</v>
      </c>
      <c r="K170" s="36">
        <f t="shared" si="22"/>
        <v>0</v>
      </c>
      <c r="L170" s="30">
        <f t="shared" si="23"/>
        <v>0</v>
      </c>
      <c r="M170" s="36">
        <f t="shared" si="24"/>
        <v>0</v>
      </c>
      <c r="N170" s="162" cm="1">
        <f t="array" ref="N170">IFERROR(VLOOKUP(I170,perdues_amb_aillament,_xlfn.IFS(M170=20,3,M170=25,4,M170=30,5,M170=35,6,M170=40,7,M170=45,8,M170=50,9,M170=55,10)),)</f>
        <v>0</v>
      </c>
      <c r="O170" s="30">
        <f t="shared" si="25"/>
        <v>0</v>
      </c>
      <c r="P170" s="35">
        <f t="shared" si="26"/>
        <v>0</v>
      </c>
    </row>
    <row r="171" spans="1:17">
      <c r="A171" s="576"/>
      <c r="B171" s="17">
        <v>64</v>
      </c>
      <c r="C171" s="22">
        <v>2.5</v>
      </c>
      <c r="D171" s="36">
        <f t="shared" si="19"/>
        <v>0</v>
      </c>
      <c r="E171" s="30">
        <f t="shared" si="20"/>
        <v>0</v>
      </c>
      <c r="F171" s="17">
        <f>IFERROR(VLOOKUP(E171,perdues_sense_aillar,8),)</f>
        <v>0</v>
      </c>
      <c r="G171" s="35">
        <f t="shared" si="27"/>
        <v>0</v>
      </c>
      <c r="I171" s="17">
        <v>64</v>
      </c>
      <c r="J171" s="22">
        <v>2.5</v>
      </c>
      <c r="K171" s="36">
        <f t="shared" si="22"/>
        <v>0</v>
      </c>
      <c r="L171" s="30">
        <f t="shared" si="23"/>
        <v>0</v>
      </c>
      <c r="M171" s="36">
        <f t="shared" si="24"/>
        <v>0</v>
      </c>
      <c r="N171" s="162" cm="1">
        <f t="array" ref="N171">IFERROR(VLOOKUP(I171,perdues_amb_aillament,_xlfn.IFS(M171=20,3,M171=25,4,M171=30,5,M171=35,6,M171=40,7,M171=45,8,M171=50,9,M171=55,10)),)</f>
        <v>0</v>
      </c>
      <c r="O171" s="30">
        <f t="shared" si="25"/>
        <v>0</v>
      </c>
      <c r="P171" s="35">
        <f t="shared" si="26"/>
        <v>0</v>
      </c>
    </row>
    <row r="172" spans="1:17">
      <c r="A172" s="576"/>
      <c r="B172" s="17">
        <v>80</v>
      </c>
      <c r="C172" s="15">
        <v>3</v>
      </c>
      <c r="D172" s="36">
        <f t="shared" si="19"/>
        <v>0</v>
      </c>
      <c r="E172" s="30">
        <f t="shared" si="20"/>
        <v>0</v>
      </c>
      <c r="F172" s="17">
        <f>IFERROR(VLOOKUP(E172,perdues_sense_aillar,10),)</f>
        <v>0</v>
      </c>
      <c r="G172" s="35">
        <f t="shared" si="27"/>
        <v>0</v>
      </c>
      <c r="I172" s="17">
        <v>80</v>
      </c>
      <c r="J172" s="15">
        <v>3</v>
      </c>
      <c r="K172" s="36">
        <f t="shared" si="22"/>
        <v>0</v>
      </c>
      <c r="L172" s="30">
        <f t="shared" si="23"/>
        <v>0</v>
      </c>
      <c r="M172" s="36">
        <f t="shared" si="24"/>
        <v>0</v>
      </c>
      <c r="N172" s="162" cm="1">
        <f t="array" ref="N172">IFERROR(VLOOKUP(I172,perdues_amb_aillament,_xlfn.IFS(M172=20,3,M172=25,4,M172=30,5,M172=35,6,M172=40,7,M172=45,8,M172=50,9,M172=55,10)),)</f>
        <v>0</v>
      </c>
      <c r="O172" s="30">
        <f t="shared" si="25"/>
        <v>0</v>
      </c>
      <c r="P172" s="35">
        <f t="shared" si="26"/>
        <v>0</v>
      </c>
    </row>
    <row r="173" spans="1:17">
      <c r="A173" s="576"/>
      <c r="B173" s="17">
        <v>100</v>
      </c>
      <c r="C173" s="15">
        <v>4</v>
      </c>
      <c r="D173" s="36">
        <f t="shared" si="19"/>
        <v>0</v>
      </c>
      <c r="E173" s="30">
        <f t="shared" si="20"/>
        <v>0</v>
      </c>
      <c r="F173" s="17">
        <f>IFERROR(VLOOKUP(E173,perdues_sense_aillar,11),)</f>
        <v>0</v>
      </c>
      <c r="G173" s="35">
        <f t="shared" si="27"/>
        <v>0</v>
      </c>
      <c r="I173" s="17">
        <v>100</v>
      </c>
      <c r="J173" s="15">
        <v>4</v>
      </c>
      <c r="K173" s="36">
        <f t="shared" si="22"/>
        <v>0</v>
      </c>
      <c r="L173" s="30">
        <f t="shared" si="23"/>
        <v>0</v>
      </c>
      <c r="M173" s="36">
        <f t="shared" si="24"/>
        <v>0</v>
      </c>
      <c r="N173" s="162" cm="1">
        <f t="array" ref="N173">IFERROR(VLOOKUP(I173,perdues_amb_aillament,_xlfn.IFS(M173=20,3,M173=25,4,M173=30,5,M173=35,6,M173=40,7,M173=45,8,M173=50,9,M173=55,10)),)</f>
        <v>0</v>
      </c>
      <c r="O173" s="30">
        <f t="shared" si="25"/>
        <v>0</v>
      </c>
      <c r="P173" s="35">
        <f t="shared" si="26"/>
        <v>0</v>
      </c>
    </row>
    <row r="174" spans="1:17">
      <c r="A174" s="576"/>
      <c r="B174" s="11" t="s">
        <v>24</v>
      </c>
      <c r="C174" s="11"/>
      <c r="D174" s="17">
        <f>SUM(D164:D173)</f>
        <v>0</v>
      </c>
      <c r="E174" s="30">
        <f>IFERROR(SUMPRODUCT(D164:D173,E164:E173)/D174,AVERAGE(E164:E173))</f>
        <v>0</v>
      </c>
      <c r="F174" s="20" t="str">
        <f>IFERROR(G174*1000/D174,"-")</f>
        <v>-</v>
      </c>
      <c r="G174" s="35">
        <f>SUM(G164:G173)</f>
        <v>0</v>
      </c>
      <c r="I174" s="11" t="s">
        <v>24</v>
      </c>
      <c r="J174" s="11"/>
      <c r="K174" s="17">
        <f>SUM(K164:K173)</f>
        <v>0</v>
      </c>
      <c r="L174" s="30">
        <f>IFERROR(SUMPRODUCT(K164:K173,L164:L173)/K174,AVERAGE(L164:L173))</f>
        <v>0</v>
      </c>
      <c r="M174" s="11"/>
      <c r="N174" s="11"/>
      <c r="O174" s="30" t="str">
        <f>+IFERROR(P174*1000/K174,"-")</f>
        <v>-</v>
      </c>
      <c r="P174" s="35">
        <f>SUM(P164:P173)</f>
        <v>0</v>
      </c>
    </row>
    <row r="176" spans="1:17">
      <c r="A176" s="577" t="s">
        <v>321</v>
      </c>
      <c r="B176" s="3" t="s">
        <v>312</v>
      </c>
      <c r="I176" s="3" t="s">
        <v>314</v>
      </c>
    </row>
    <row r="177" spans="1:22" ht="43.2">
      <c r="A177" s="577"/>
      <c r="B177" s="13" t="s">
        <v>9</v>
      </c>
      <c r="C177" s="14"/>
      <c r="D177" s="15" t="s">
        <v>12</v>
      </c>
      <c r="E177" s="15" t="s">
        <v>13</v>
      </c>
      <c r="F177" s="15" t="s">
        <v>14</v>
      </c>
      <c r="G177" s="15" t="s">
        <v>15</v>
      </c>
      <c r="I177" s="13" t="s">
        <v>9</v>
      </c>
      <c r="J177" s="14"/>
      <c r="K177" s="15" t="s">
        <v>27</v>
      </c>
      <c r="L177" s="15" t="s">
        <v>13</v>
      </c>
      <c r="M177" s="15" t="s">
        <v>28</v>
      </c>
      <c r="N177" s="13" t="s">
        <v>29</v>
      </c>
      <c r="O177" s="28"/>
      <c r="P177" s="15" t="s">
        <v>15</v>
      </c>
    </row>
    <row r="178" spans="1:22">
      <c r="A178" s="577"/>
      <c r="B178" s="17" t="s">
        <v>16</v>
      </c>
      <c r="C178" s="17" t="s">
        <v>17</v>
      </c>
      <c r="D178" s="17" t="s">
        <v>18</v>
      </c>
      <c r="E178" s="17" t="s">
        <v>1</v>
      </c>
      <c r="F178" s="17" t="s">
        <v>19</v>
      </c>
      <c r="G178" s="17" t="s">
        <v>20</v>
      </c>
      <c r="I178" s="17" t="s">
        <v>16</v>
      </c>
      <c r="J178" s="17" t="s">
        <v>17</v>
      </c>
      <c r="K178" s="17" t="s">
        <v>18</v>
      </c>
      <c r="L178" s="17" t="s">
        <v>1</v>
      </c>
      <c r="M178" s="17" t="s">
        <v>16</v>
      </c>
      <c r="N178" s="17" t="s">
        <v>31</v>
      </c>
      <c r="O178" s="17" t="s">
        <v>19</v>
      </c>
      <c r="P178" s="17" t="s">
        <v>20</v>
      </c>
    </row>
    <row r="179" spans="1:22">
      <c r="A179" s="577"/>
      <c r="B179" s="17">
        <v>15</v>
      </c>
      <c r="C179" s="19" t="s">
        <v>22</v>
      </c>
      <c r="D179" s="36">
        <f t="shared" ref="D179:D188" si="28">+D78</f>
        <v>0</v>
      </c>
      <c r="E179" s="30">
        <f t="shared" ref="E179:E188" si="29">+$C$151-$D$53</f>
        <v>0</v>
      </c>
      <c r="F179" s="20">
        <f>IFERROR(VLOOKUP(E179,perdues_sense_aillar,2),)</f>
        <v>0</v>
      </c>
      <c r="G179" s="35">
        <f t="shared" ref="G179" si="30">+F179*D179/1000</f>
        <v>0</v>
      </c>
      <c r="I179" s="17">
        <v>15</v>
      </c>
      <c r="J179" s="19" t="s">
        <v>22</v>
      </c>
      <c r="K179" s="36">
        <f t="shared" ref="K179:K188" si="31">+K78</f>
        <v>0</v>
      </c>
      <c r="L179" s="30">
        <f t="shared" ref="L179:L188" si="32">+$C$151-$D$53</f>
        <v>0</v>
      </c>
      <c r="M179" s="36">
        <f t="shared" ref="M179:M188" si="33">+M78</f>
        <v>0</v>
      </c>
      <c r="N179" s="162" cm="1">
        <f t="array" ref="N179">IFERROR(VLOOKUP(I179,perdues_amb_aillament,_xlfn.IFS(M179=20,3,M179=25,4,M179=30,5,M179=35,6,M179=40,7,M179=45,8,M179=50,9,M179=55,10)),)</f>
        <v>0</v>
      </c>
      <c r="O179" s="30">
        <f>+N179*L179</f>
        <v>0</v>
      </c>
      <c r="P179" s="35">
        <f>+O179*K179/1000</f>
        <v>0</v>
      </c>
    </row>
    <row r="180" spans="1:22">
      <c r="A180" s="577"/>
      <c r="B180" s="17">
        <v>22</v>
      </c>
      <c r="C180" s="21" t="s">
        <v>23</v>
      </c>
      <c r="D180" s="36">
        <f t="shared" si="28"/>
        <v>0</v>
      </c>
      <c r="E180" s="30">
        <f t="shared" si="29"/>
        <v>0</v>
      </c>
      <c r="F180" s="17">
        <f>IFERROR(VLOOKUP(E180,perdues_sense_aillar,3),)</f>
        <v>0</v>
      </c>
      <c r="G180" s="35">
        <f>+F180*D180/1000</f>
        <v>0</v>
      </c>
      <c r="I180" s="17">
        <v>22</v>
      </c>
      <c r="J180" s="21" t="s">
        <v>23</v>
      </c>
      <c r="K180" s="36">
        <f t="shared" si="31"/>
        <v>0</v>
      </c>
      <c r="L180" s="30">
        <f t="shared" si="32"/>
        <v>0</v>
      </c>
      <c r="M180" s="36">
        <f t="shared" si="33"/>
        <v>0</v>
      </c>
      <c r="N180" s="162" cm="1">
        <f t="array" ref="N180">IFERROR(VLOOKUP(I180,perdues_amb_aillament,_xlfn.IFS(M180=20,3,M180=25,4,M180=30,5,M180=35,6,M180=40,7,M180=45,8,M180=50,9,M180=55,10)),)</f>
        <v>0</v>
      </c>
      <c r="O180" s="30">
        <f t="shared" ref="O180:O188" si="34">+N180*L180</f>
        <v>0</v>
      </c>
      <c r="P180" s="35">
        <f t="shared" ref="P180:P188" si="35">+O180*K180/1000</f>
        <v>0</v>
      </c>
    </row>
    <row r="181" spans="1:22">
      <c r="A181" s="577"/>
      <c r="B181" s="17">
        <v>28</v>
      </c>
      <c r="C181" s="15">
        <v>1</v>
      </c>
      <c r="D181" s="36">
        <f t="shared" si="28"/>
        <v>0</v>
      </c>
      <c r="E181" s="30">
        <f t="shared" si="29"/>
        <v>0</v>
      </c>
      <c r="F181" s="17">
        <f>IFERROR(VLOOKUP(E181,perdues_sense_aillar,4),)</f>
        <v>0</v>
      </c>
      <c r="G181" s="35">
        <f t="shared" ref="G181:G188" si="36">+F181*D181/1000</f>
        <v>0</v>
      </c>
      <c r="I181" s="17">
        <v>28</v>
      </c>
      <c r="J181" s="15">
        <v>1</v>
      </c>
      <c r="K181" s="36">
        <f t="shared" si="31"/>
        <v>0</v>
      </c>
      <c r="L181" s="30">
        <f>+$C$151-$D$53</f>
        <v>0</v>
      </c>
      <c r="M181" s="36">
        <f t="shared" si="33"/>
        <v>0</v>
      </c>
      <c r="N181" s="162" cm="1">
        <f t="array" ref="N181">IFERROR(VLOOKUP(I181,perdues_amb_aillament,_xlfn.IFS(M181=20,3,M181=25,4,M181=30,5,M181=35,6,M181=40,7,M181=45,8,M181=50,9,M181=55,10)),)</f>
        <v>0</v>
      </c>
      <c r="O181" s="30">
        <f t="shared" si="34"/>
        <v>0</v>
      </c>
      <c r="P181" s="35">
        <f t="shared" si="35"/>
        <v>0</v>
      </c>
    </row>
    <row r="182" spans="1:22">
      <c r="A182" s="577"/>
      <c r="B182" s="17">
        <v>35</v>
      </c>
      <c r="C182" s="22">
        <v>1.25</v>
      </c>
      <c r="D182" s="36">
        <f t="shared" si="28"/>
        <v>0</v>
      </c>
      <c r="E182" s="30">
        <f t="shared" si="29"/>
        <v>0</v>
      </c>
      <c r="F182" s="17">
        <f>IFERROR(VLOOKUP(E182,perdues_sense_aillar,5),)</f>
        <v>0</v>
      </c>
      <c r="G182" s="35">
        <f t="shared" si="36"/>
        <v>0</v>
      </c>
      <c r="I182" s="17">
        <v>35</v>
      </c>
      <c r="J182" s="22">
        <v>1.25</v>
      </c>
      <c r="K182" s="36">
        <f t="shared" si="31"/>
        <v>0</v>
      </c>
      <c r="L182" s="30">
        <f t="shared" si="32"/>
        <v>0</v>
      </c>
      <c r="M182" s="36">
        <f t="shared" si="33"/>
        <v>0</v>
      </c>
      <c r="N182" s="162" cm="1">
        <f t="array" ref="N182">IFERROR(VLOOKUP(I182,perdues_amb_aillament,_xlfn.IFS(M182=20,3,M182=25,4,M182=30,5,M182=35,6,M182=40,7,M182=45,8,M182=50,9,M182=55,10)),)</f>
        <v>0</v>
      </c>
      <c r="O182" s="30">
        <f t="shared" si="34"/>
        <v>0</v>
      </c>
      <c r="P182" s="35">
        <f t="shared" si="35"/>
        <v>0</v>
      </c>
    </row>
    <row r="183" spans="1:22">
      <c r="A183" s="577"/>
      <c r="B183" s="17">
        <v>42</v>
      </c>
      <c r="C183" s="22">
        <v>1.5</v>
      </c>
      <c r="D183" s="36">
        <f t="shared" si="28"/>
        <v>0</v>
      </c>
      <c r="E183" s="30">
        <f t="shared" si="29"/>
        <v>0</v>
      </c>
      <c r="F183" s="17">
        <f>IFERROR(VLOOKUP(E183,perdues_sense_aillar,6),)</f>
        <v>0</v>
      </c>
      <c r="G183" s="35">
        <f t="shared" si="36"/>
        <v>0</v>
      </c>
      <c r="I183" s="17">
        <v>42</v>
      </c>
      <c r="J183" s="22">
        <v>1.5</v>
      </c>
      <c r="K183" s="36">
        <f t="shared" si="31"/>
        <v>0</v>
      </c>
      <c r="L183" s="30">
        <f t="shared" si="32"/>
        <v>0</v>
      </c>
      <c r="M183" s="36">
        <f t="shared" si="33"/>
        <v>0</v>
      </c>
      <c r="N183" s="162" cm="1">
        <f t="array" ref="N183">IFERROR(VLOOKUP(I183,perdues_amb_aillament,_xlfn.IFS(M183=20,3,M183=25,4,M183=30,5,M183=35,6,M183=40,7,M183=45,8,M183=50,9,M183=55,10)),)</f>
        <v>0</v>
      </c>
      <c r="O183" s="30">
        <f t="shared" si="34"/>
        <v>0</v>
      </c>
      <c r="P183" s="35">
        <f t="shared" si="35"/>
        <v>0</v>
      </c>
    </row>
    <row r="184" spans="1:22">
      <c r="A184" s="577"/>
      <c r="B184" s="17">
        <v>48</v>
      </c>
      <c r="C184" s="15">
        <v>2</v>
      </c>
      <c r="D184" s="36">
        <f t="shared" si="28"/>
        <v>0</v>
      </c>
      <c r="E184" s="30">
        <f t="shared" si="29"/>
        <v>0</v>
      </c>
      <c r="F184" s="17">
        <f>IFERROR(VLOOKUP(E184,perdues_sense_aillar,7),)</f>
        <v>0</v>
      </c>
      <c r="G184" s="35">
        <f t="shared" si="36"/>
        <v>0</v>
      </c>
      <c r="I184" s="17">
        <v>48</v>
      </c>
      <c r="J184" s="15">
        <v>2</v>
      </c>
      <c r="K184" s="36">
        <f t="shared" si="31"/>
        <v>0</v>
      </c>
      <c r="L184" s="30">
        <f t="shared" si="32"/>
        <v>0</v>
      </c>
      <c r="M184" s="36">
        <f t="shared" si="33"/>
        <v>0</v>
      </c>
      <c r="N184" s="162" cm="1">
        <f t="array" ref="N184">IFERROR(VLOOKUP(I184,perdues_amb_aillament,_xlfn.IFS(M184=20,3,M184=25,4,M184=30,5,M184=35,6,M184=40,7,M184=45,8,M184=50,9,M184=55,10)),)</f>
        <v>0</v>
      </c>
      <c r="O184" s="30">
        <f t="shared" si="34"/>
        <v>0</v>
      </c>
      <c r="P184" s="35">
        <f t="shared" si="35"/>
        <v>0</v>
      </c>
    </row>
    <row r="185" spans="1:22">
      <c r="A185" s="577"/>
      <c r="B185" s="17">
        <v>54</v>
      </c>
      <c r="C185" s="15">
        <v>2</v>
      </c>
      <c r="D185" s="36">
        <f t="shared" si="28"/>
        <v>0</v>
      </c>
      <c r="E185" s="30">
        <f t="shared" si="29"/>
        <v>0</v>
      </c>
      <c r="F185" s="17">
        <f>IFERROR(VLOOKUP(E185,perdues_sense_aillar,7),)</f>
        <v>0</v>
      </c>
      <c r="G185" s="35">
        <f t="shared" si="36"/>
        <v>0</v>
      </c>
      <c r="I185" s="17">
        <v>54</v>
      </c>
      <c r="J185" s="15">
        <v>2</v>
      </c>
      <c r="K185" s="36">
        <f t="shared" si="31"/>
        <v>0</v>
      </c>
      <c r="L185" s="30">
        <f t="shared" si="32"/>
        <v>0</v>
      </c>
      <c r="M185" s="36">
        <f t="shared" si="33"/>
        <v>0</v>
      </c>
      <c r="N185" s="162" cm="1">
        <f t="array" ref="N185">IFERROR(VLOOKUP(I185,perdues_amb_aillament,_xlfn.IFS(M185=20,3,M185=25,4,M185=30,5,M185=35,6,M185=40,7,M185=45,8,M185=50,9,M185=55,10)),)</f>
        <v>0</v>
      </c>
      <c r="O185" s="30">
        <f t="shared" si="34"/>
        <v>0</v>
      </c>
      <c r="P185" s="35">
        <f t="shared" si="35"/>
        <v>0</v>
      </c>
    </row>
    <row r="186" spans="1:22">
      <c r="A186" s="577"/>
      <c r="B186" s="17">
        <v>64</v>
      </c>
      <c r="C186" s="22">
        <v>2.5</v>
      </c>
      <c r="D186" s="36">
        <f t="shared" si="28"/>
        <v>0</v>
      </c>
      <c r="E186" s="30">
        <f t="shared" si="29"/>
        <v>0</v>
      </c>
      <c r="F186" s="17">
        <f>IFERROR(VLOOKUP(E186,perdues_sense_aillar,8),)</f>
        <v>0</v>
      </c>
      <c r="G186" s="35">
        <f t="shared" si="36"/>
        <v>0</v>
      </c>
      <c r="I186" s="17">
        <v>64</v>
      </c>
      <c r="J186" s="22">
        <v>2.5</v>
      </c>
      <c r="K186" s="36">
        <f t="shared" si="31"/>
        <v>0</v>
      </c>
      <c r="L186" s="30">
        <f t="shared" si="32"/>
        <v>0</v>
      </c>
      <c r="M186" s="36">
        <f t="shared" si="33"/>
        <v>0</v>
      </c>
      <c r="N186" s="162" cm="1">
        <f t="array" ref="N186">IFERROR(VLOOKUP(I186,perdues_amb_aillament,_xlfn.IFS(M186=20,3,M186=25,4,M186=30,5,M186=35,6,M186=40,7,M186=45,8,M186=50,9,M186=55,10)),)</f>
        <v>0</v>
      </c>
      <c r="O186" s="30">
        <f t="shared" si="34"/>
        <v>0</v>
      </c>
      <c r="P186" s="35">
        <f t="shared" si="35"/>
        <v>0</v>
      </c>
    </row>
    <row r="187" spans="1:22">
      <c r="A187" s="577"/>
      <c r="B187" s="17">
        <v>80</v>
      </c>
      <c r="C187" s="15">
        <v>3</v>
      </c>
      <c r="D187" s="36">
        <f t="shared" si="28"/>
        <v>0</v>
      </c>
      <c r="E187" s="30">
        <f t="shared" si="29"/>
        <v>0</v>
      </c>
      <c r="F187" s="17">
        <f>IFERROR(VLOOKUP(E187,perdues_sense_aillar,10),)</f>
        <v>0</v>
      </c>
      <c r="G187" s="35">
        <f t="shared" si="36"/>
        <v>0</v>
      </c>
      <c r="I187" s="17">
        <v>80</v>
      </c>
      <c r="J187" s="15">
        <v>3</v>
      </c>
      <c r="K187" s="36">
        <f t="shared" si="31"/>
        <v>0</v>
      </c>
      <c r="L187" s="30">
        <f t="shared" si="32"/>
        <v>0</v>
      </c>
      <c r="M187" s="36">
        <f t="shared" si="33"/>
        <v>0</v>
      </c>
      <c r="N187" s="162" cm="1">
        <f t="array" ref="N187">IFERROR(VLOOKUP(I187,perdues_amb_aillament,_xlfn.IFS(M187=20,3,M187=25,4,M187=30,5,M187=35,6,M187=40,7,M187=45,8,M187=50,9,M187=55,10)),)</f>
        <v>0</v>
      </c>
      <c r="O187" s="30">
        <f t="shared" si="34"/>
        <v>0</v>
      </c>
      <c r="P187" s="35">
        <f t="shared" si="35"/>
        <v>0</v>
      </c>
    </row>
    <row r="188" spans="1:22">
      <c r="A188" s="577"/>
      <c r="B188" s="17">
        <v>100</v>
      </c>
      <c r="C188" s="15">
        <v>4</v>
      </c>
      <c r="D188" s="36">
        <f t="shared" si="28"/>
        <v>0</v>
      </c>
      <c r="E188" s="30">
        <f t="shared" si="29"/>
        <v>0</v>
      </c>
      <c r="F188" s="17">
        <f>IFERROR(VLOOKUP(E188,perdues_sense_aillar,11),)</f>
        <v>0</v>
      </c>
      <c r="G188" s="35">
        <f t="shared" si="36"/>
        <v>0</v>
      </c>
      <c r="I188" s="17">
        <v>100</v>
      </c>
      <c r="J188" s="15">
        <v>4</v>
      </c>
      <c r="K188" s="36">
        <f t="shared" si="31"/>
        <v>0</v>
      </c>
      <c r="L188" s="30">
        <f t="shared" si="32"/>
        <v>0</v>
      </c>
      <c r="M188" s="36">
        <f t="shared" si="33"/>
        <v>0</v>
      </c>
      <c r="N188" s="162" cm="1">
        <f t="array" ref="N188">IFERROR(VLOOKUP(I188,perdues_amb_aillament,_xlfn.IFS(M188=20,3,M188=25,4,M188=30,5,M188=35,6,M188=40,7,M188=45,8,M188=50,9,M188=55,10)),)</f>
        <v>0</v>
      </c>
      <c r="O188" s="30">
        <f t="shared" si="34"/>
        <v>0</v>
      </c>
      <c r="P188" s="35">
        <f t="shared" si="35"/>
        <v>0</v>
      </c>
    </row>
    <row r="189" spans="1:22">
      <c r="A189" s="577"/>
      <c r="B189" s="11" t="s">
        <v>24</v>
      </c>
      <c r="C189" s="11"/>
      <c r="D189" s="17">
        <f>SUM(D179:D188)</f>
        <v>0</v>
      </c>
      <c r="E189" s="30">
        <f>IFERROR(SUMPRODUCT(D179:D188,E179:E188)/D189,AVERAGE(E179:E188))</f>
        <v>0</v>
      </c>
      <c r="F189" s="20" t="str">
        <f>IFERROR(G189*1000/D189,"-")</f>
        <v>-</v>
      </c>
      <c r="G189" s="35">
        <f>SUM(G179:G188)</f>
        <v>0</v>
      </c>
      <c r="I189" s="11" t="s">
        <v>24</v>
      </c>
      <c r="J189" s="11"/>
      <c r="K189" s="17">
        <f>SUM(K179:K188)</f>
        <v>0</v>
      </c>
      <c r="L189" s="30">
        <f>IFERROR(SUMPRODUCT(K179:K188,L179:L188)/K189,AVERAGE(L179:L188))</f>
        <v>0</v>
      </c>
      <c r="M189" s="11"/>
      <c r="N189" s="11"/>
      <c r="O189" s="30" t="str">
        <f>+IFERROR(P189*1000/K189,"-")</f>
        <v>-</v>
      </c>
      <c r="P189" s="35">
        <f>SUM(P179:P188)</f>
        <v>0</v>
      </c>
    </row>
    <row r="190" spans="1:22">
      <c r="C190" s="2"/>
      <c r="D190" s="18"/>
      <c r="E190" s="111"/>
      <c r="F190" s="164"/>
      <c r="G190" s="165"/>
      <c r="J190" s="2"/>
      <c r="K190" s="18"/>
      <c r="L190" s="111"/>
      <c r="O190" s="111"/>
      <c r="P190" s="165"/>
    </row>
    <row r="191" spans="1:22">
      <c r="B191" s="129" t="s">
        <v>396</v>
      </c>
      <c r="C191" s="42"/>
      <c r="D191" s="42"/>
      <c r="E191" s="42"/>
      <c r="F191" s="42"/>
      <c r="G191" s="42"/>
      <c r="H191" s="42"/>
      <c r="I191" s="42"/>
      <c r="J191" s="42"/>
      <c r="K191" s="42"/>
      <c r="L191" s="42"/>
      <c r="M191" s="42"/>
      <c r="N191" s="42"/>
      <c r="O191" s="42"/>
      <c r="P191" s="42"/>
      <c r="Q191" s="42"/>
      <c r="R191" s="42"/>
      <c r="S191" s="42"/>
      <c r="T191" s="42"/>
      <c r="U191" s="42"/>
      <c r="V191" s="42"/>
    </row>
    <row r="193" spans="2:22">
      <c r="B193" s="2" t="s">
        <v>315</v>
      </c>
      <c r="M193" s="2" t="s">
        <v>316</v>
      </c>
    </row>
    <row r="194" spans="2:22" ht="43.2">
      <c r="B194" s="13" t="s">
        <v>9</v>
      </c>
      <c r="C194" s="14"/>
      <c r="D194" s="31" t="s">
        <v>34</v>
      </c>
      <c r="E194" s="31" t="s">
        <v>13</v>
      </c>
      <c r="F194" s="31" t="s">
        <v>38</v>
      </c>
      <c r="G194" s="63" t="s">
        <v>29</v>
      </c>
      <c r="H194" s="64"/>
      <c r="I194" s="31" t="s">
        <v>15</v>
      </c>
      <c r="J194" s="31" t="s">
        <v>39</v>
      </c>
      <c r="K194" s="31" t="s">
        <v>40</v>
      </c>
      <c r="M194" s="13" t="s">
        <v>9</v>
      </c>
      <c r="N194" s="14"/>
      <c r="O194" s="31" t="s">
        <v>34</v>
      </c>
      <c r="P194" s="31" t="s">
        <v>13</v>
      </c>
      <c r="Q194" s="31" t="s">
        <v>38</v>
      </c>
      <c r="R194" s="63" t="s">
        <v>29</v>
      </c>
      <c r="S194" s="64"/>
      <c r="T194" s="31" t="s">
        <v>15</v>
      </c>
      <c r="U194" s="31" t="s">
        <v>39</v>
      </c>
      <c r="V194" s="31" t="s">
        <v>40</v>
      </c>
    </row>
    <row r="195" spans="2:22">
      <c r="B195" s="17" t="s">
        <v>16</v>
      </c>
      <c r="C195" s="17" t="s">
        <v>17</v>
      </c>
      <c r="D195" s="33" t="s">
        <v>18</v>
      </c>
      <c r="E195" s="33" t="s">
        <v>1</v>
      </c>
      <c r="F195" s="33" t="s">
        <v>16</v>
      </c>
      <c r="G195" s="17" t="s">
        <v>31</v>
      </c>
      <c r="H195" s="17" t="s">
        <v>19</v>
      </c>
      <c r="I195" s="33" t="s">
        <v>20</v>
      </c>
      <c r="J195" s="33" t="s">
        <v>42</v>
      </c>
      <c r="K195" s="33" t="s">
        <v>43</v>
      </c>
      <c r="M195" s="17" t="s">
        <v>16</v>
      </c>
      <c r="N195" s="17" t="s">
        <v>17</v>
      </c>
      <c r="O195" s="33" t="s">
        <v>18</v>
      </c>
      <c r="P195" s="33" t="s">
        <v>1</v>
      </c>
      <c r="Q195" s="33" t="s">
        <v>16</v>
      </c>
      <c r="R195" s="17" t="s">
        <v>31</v>
      </c>
      <c r="S195" s="17" t="s">
        <v>19</v>
      </c>
      <c r="T195" s="33" t="s">
        <v>20</v>
      </c>
      <c r="U195" s="33" t="s">
        <v>42</v>
      </c>
      <c r="V195" s="33" t="s">
        <v>43</v>
      </c>
    </row>
    <row r="196" spans="2:22">
      <c r="B196" s="17">
        <v>15</v>
      </c>
      <c r="C196" s="19" t="s">
        <v>22</v>
      </c>
      <c r="D196" s="36">
        <f t="shared" ref="D196:D205" si="37">+D63</f>
        <v>0</v>
      </c>
      <c r="E196" s="30">
        <f>+$D$56</f>
        <v>0</v>
      </c>
      <c r="F196" s="152">
        <v>40</v>
      </c>
      <c r="G196" s="162" cm="1">
        <f t="array" ref="G196">IFERROR(VLOOKUP(B196,perdues_amb_aillament,_xlfn.IFS(F196=20,3,F196=25,4,F196=30,5,F196=35,6,F196=40,7,F196=50,8)),)</f>
        <v>0.125</v>
      </c>
      <c r="H196" s="30">
        <f>+G196*E196</f>
        <v>0</v>
      </c>
      <c r="I196" s="35">
        <f>+H196*D196/1000</f>
        <v>0</v>
      </c>
      <c r="J196" s="160" cm="1">
        <f t="array" ref="J196">+VLOOKUP(B196,cost_aillament,_xlfn.IFS(F196=20,3,F196=25,4,F196=30,5,F196=35,6,F196=40,7,F196=45,8,F196=50,9,F196=55,10))*1.3</f>
        <v>21.984300000000001</v>
      </c>
      <c r="K196" s="160">
        <f>+J196*D196</f>
        <v>0</v>
      </c>
      <c r="M196" s="17">
        <v>15</v>
      </c>
      <c r="N196" s="19" t="s">
        <v>22</v>
      </c>
      <c r="O196" s="36">
        <f t="shared" ref="O196:O205" si="38">+D78</f>
        <v>0</v>
      </c>
      <c r="P196" s="30">
        <f>+$D$55</f>
        <v>0</v>
      </c>
      <c r="Q196" s="152">
        <v>30</v>
      </c>
      <c r="R196" s="162" cm="1">
        <f t="array" ref="R196">IFERROR(VLOOKUP(M196,perdues_amb_aillament,_xlfn.IFS(Q196=20,3,Q196=25,4,Q196=30,5,Q196=35,6,Q196=40,7,Q196=50,8)),)</f>
        <v>0.13500000000000001</v>
      </c>
      <c r="S196" s="30">
        <f>+R196*P196</f>
        <v>0</v>
      </c>
      <c r="T196" s="35">
        <f>+S196*O196/1000</f>
        <v>0</v>
      </c>
      <c r="U196" s="160" cm="1">
        <f t="array" ref="U196">+VLOOKUP(M196,cost_aillament,_xlfn.IFS(Q196=20,3,Q196=25,4,Q196=30,5,Q196=35,6,Q196=40,7,Q196=45,8,Q196=50,9,Q196=55,10))*1.3</f>
        <v>16.1980416</v>
      </c>
      <c r="V196" s="160">
        <f>+U196*O196</f>
        <v>0</v>
      </c>
    </row>
    <row r="197" spans="2:22">
      <c r="B197" s="17">
        <v>22</v>
      </c>
      <c r="C197" s="21" t="s">
        <v>23</v>
      </c>
      <c r="D197" s="36">
        <f t="shared" si="37"/>
        <v>0</v>
      </c>
      <c r="E197" s="30">
        <f t="shared" ref="E197:E205" si="39">+$D$56</f>
        <v>0</v>
      </c>
      <c r="F197" s="152">
        <v>40</v>
      </c>
      <c r="G197" s="162" cm="1">
        <f t="array" ref="G197">IFERROR(VLOOKUP(B197,perdues_amb_aillament,_xlfn.IFS(F197=20,3,F197=25,4,F197=30,5,F197=35,6,F197=40,7,F197=50,8)),)</f>
        <v>0.14499999999999999</v>
      </c>
      <c r="H197" s="30">
        <f t="shared" ref="H197:H205" si="40">+G197*E197</f>
        <v>0</v>
      </c>
      <c r="I197" s="35">
        <f t="shared" ref="I197:I205" si="41">+H197*D197/1000</f>
        <v>0</v>
      </c>
      <c r="J197" s="160" cm="1">
        <f t="array" ref="J197">+VLOOKUP(B197,cost_aillament,_xlfn.IFS(F197=20,3,F197=25,4,F197=30,5,F197=35,6,F197=40,7,F197=45,8,F197=50,9,F197=55,10))*1.3</f>
        <v>24.427</v>
      </c>
      <c r="K197" s="160">
        <f t="shared" ref="K197:K205" si="42">+J197*D197</f>
        <v>0</v>
      </c>
      <c r="M197" s="17">
        <v>22</v>
      </c>
      <c r="N197" s="21" t="s">
        <v>23</v>
      </c>
      <c r="O197" s="36">
        <f t="shared" si="38"/>
        <v>0</v>
      </c>
      <c r="P197" s="30">
        <f t="shared" ref="P197:P205" si="43">+$D$55</f>
        <v>0</v>
      </c>
      <c r="Q197" s="152">
        <v>30</v>
      </c>
      <c r="R197" s="162" cm="1">
        <f t="array" ref="R197">IFERROR(VLOOKUP(M197,perdues_amb_aillament,_xlfn.IFS(Q197=20,3,Q197=25,4,Q197=30,5,Q197=35,6,Q197=40,7,Q197=50,8)),)</f>
        <v>0.16500000000000001</v>
      </c>
      <c r="S197" s="30">
        <f t="shared" ref="S197:S205" si="44">+R197*P197</f>
        <v>0</v>
      </c>
      <c r="T197" s="35">
        <f t="shared" ref="T197:T205" si="45">+S197*O197/1000</f>
        <v>0</v>
      </c>
      <c r="U197" s="160" cm="1">
        <f t="array" ref="U197">+VLOOKUP(M197,cost_aillament,_xlfn.IFS(Q197=20,3,Q197=25,4,Q197=30,5,Q197=35,6,Q197=40,7,Q197=45,8,Q197=50,9,Q197=55,10))*1.3</f>
        <v>16.458000000000002</v>
      </c>
      <c r="V197" s="160">
        <f t="shared" ref="V197:V205" si="46">+U197*O197</f>
        <v>0</v>
      </c>
    </row>
    <row r="198" spans="2:22">
      <c r="B198" s="17">
        <v>28</v>
      </c>
      <c r="C198" s="15">
        <v>1</v>
      </c>
      <c r="D198" s="36">
        <f t="shared" si="37"/>
        <v>0</v>
      </c>
      <c r="E198" s="30">
        <f t="shared" si="39"/>
        <v>0</v>
      </c>
      <c r="F198" s="152">
        <v>40</v>
      </c>
      <c r="G198" s="162" cm="1">
        <f t="array" ref="G198">IFERROR(VLOOKUP(B198,perdues_amb_aillament,_xlfn.IFS(F198=20,3,F198=25,4,F198=30,5,F198=35,6,F198=40,7,F198=50,8)),)</f>
        <v>0.16500000000000001</v>
      </c>
      <c r="H198" s="30">
        <f t="shared" si="40"/>
        <v>0</v>
      </c>
      <c r="I198" s="35">
        <f t="shared" si="41"/>
        <v>0</v>
      </c>
      <c r="J198" s="160" cm="1">
        <f t="array" ref="J198">+VLOOKUP(B198,cost_aillament,_xlfn.IFS(F198=20,3,F198=25,4,F198=30,5,F198=35,6,F198=40,7,F198=45,8,F198=50,9,F198=55,10))*1.3</f>
        <v>26.869700000000002</v>
      </c>
      <c r="K198" s="160">
        <f t="shared" si="42"/>
        <v>0</v>
      </c>
      <c r="M198" s="17">
        <v>28</v>
      </c>
      <c r="N198" s="15">
        <v>1</v>
      </c>
      <c r="O198" s="36">
        <f t="shared" si="38"/>
        <v>0</v>
      </c>
      <c r="P198" s="30">
        <f t="shared" si="43"/>
        <v>0</v>
      </c>
      <c r="Q198" s="152">
        <v>30</v>
      </c>
      <c r="R198" s="162" cm="1">
        <f t="array" ref="R198">IFERROR(VLOOKUP(M198,perdues_amb_aillament,_xlfn.IFS(Q198=20,3,Q198=25,4,Q198=30,5,Q198=35,6,Q198=40,7,Q198=50,8)),)</f>
        <v>0.185</v>
      </c>
      <c r="S198" s="30">
        <f t="shared" si="44"/>
        <v>0</v>
      </c>
      <c r="T198" s="35">
        <f t="shared" si="45"/>
        <v>0</v>
      </c>
      <c r="U198" s="160" cm="1">
        <f t="array" ref="U198">+VLOOKUP(M198,cost_aillament,_xlfn.IFS(Q198=20,3,Q198=25,4,Q198=30,5,Q198=35,6,Q198=40,7,Q198=45,8,Q198=50,9,Q198=55,10))*1.3</f>
        <v>18.103800000000003</v>
      </c>
      <c r="V198" s="160">
        <f t="shared" si="46"/>
        <v>0</v>
      </c>
    </row>
    <row r="199" spans="2:22">
      <c r="B199" s="17">
        <v>35</v>
      </c>
      <c r="C199" s="22">
        <v>1.25</v>
      </c>
      <c r="D199" s="36">
        <f t="shared" si="37"/>
        <v>0</v>
      </c>
      <c r="E199" s="30">
        <f t="shared" si="39"/>
        <v>0</v>
      </c>
      <c r="F199" s="152">
        <v>40</v>
      </c>
      <c r="G199" s="162" cm="1">
        <f t="array" ref="G199">IFERROR(VLOOKUP(B199,perdues_amb_aillament,_xlfn.IFS(F199=20,3,F199=25,4,F199=30,5,F199=35,6,F199=40,7,F199=50,8)),)</f>
        <v>0.17499999999999999</v>
      </c>
      <c r="H199" s="30">
        <f t="shared" si="40"/>
        <v>0</v>
      </c>
      <c r="I199" s="35">
        <f t="shared" si="41"/>
        <v>0</v>
      </c>
      <c r="J199" s="160" cm="1">
        <f t="array" ref="J199">+VLOOKUP(B199,cost_aillament,_xlfn.IFS(F199=20,3,F199=25,4,F199=30,5,F199=35,6,F199=40,7,F199=45,8,F199=50,9,F199=55,10))*1.3</f>
        <v>29.55667</v>
      </c>
      <c r="K199" s="160">
        <f t="shared" si="42"/>
        <v>0</v>
      </c>
      <c r="M199" s="17">
        <v>35</v>
      </c>
      <c r="N199" s="22">
        <v>1.25</v>
      </c>
      <c r="O199" s="36">
        <f t="shared" si="38"/>
        <v>0</v>
      </c>
      <c r="P199" s="30">
        <f t="shared" si="43"/>
        <v>0</v>
      </c>
      <c r="Q199" s="152">
        <v>30</v>
      </c>
      <c r="R199" s="162" cm="1">
        <f t="array" ref="R199">IFERROR(VLOOKUP(M199,perdues_amb_aillament,_xlfn.IFS(Q199=20,3,Q199=25,4,Q199=30,5,Q199=35,6,Q199=40,7,Q199=50,8)),)</f>
        <v>0.20499999999999999</v>
      </c>
      <c r="S199" s="30">
        <f t="shared" si="44"/>
        <v>0</v>
      </c>
      <c r="T199" s="35">
        <f t="shared" si="45"/>
        <v>0</v>
      </c>
      <c r="U199" s="160" cm="1">
        <f t="array" ref="U199">+VLOOKUP(M199,cost_aillament,_xlfn.IFS(Q199=20,3,Q199=25,4,Q199=30,5,Q199=35,6,Q199=40,7,Q199=45,8,Q199=50,9,Q199=55,10))*1.3</f>
        <v>19.914180000000005</v>
      </c>
      <c r="V199" s="160">
        <f t="shared" si="46"/>
        <v>0</v>
      </c>
    </row>
    <row r="200" spans="2:22">
      <c r="B200" s="17">
        <v>42</v>
      </c>
      <c r="C200" s="22">
        <v>1.5</v>
      </c>
      <c r="D200" s="36">
        <f t="shared" si="37"/>
        <v>0</v>
      </c>
      <c r="E200" s="30">
        <f t="shared" si="39"/>
        <v>0</v>
      </c>
      <c r="F200" s="152">
        <v>45</v>
      </c>
      <c r="G200" s="162" cm="1">
        <f t="array" ref="G200">IFERROR(VLOOKUP(B200,perdues_amb_aillament,_xlfn.IFS(F200=20,3,F200=25,4,F200=30,5,F200=35,6,F200=40,7,F200=50,8)),)</f>
        <v>0</v>
      </c>
      <c r="H200" s="30">
        <f t="shared" si="40"/>
        <v>0</v>
      </c>
      <c r="I200" s="35">
        <f t="shared" si="41"/>
        <v>0</v>
      </c>
      <c r="J200" s="160" cm="1">
        <f t="array" ref="J200">+VLOOKUP(B200,cost_aillament,_xlfn.IFS(F200=20,3,F200=25,4,F200=30,5,F200=35,6,F200=40,7,F200=45,8,F200=50,9,F200=55,10))*1.3</f>
        <v>44.912608650000003</v>
      </c>
      <c r="K200" s="160">
        <f t="shared" si="42"/>
        <v>0</v>
      </c>
      <c r="M200" s="17">
        <v>42</v>
      </c>
      <c r="N200" s="22">
        <v>1.5</v>
      </c>
      <c r="O200" s="36">
        <f t="shared" si="38"/>
        <v>0</v>
      </c>
      <c r="P200" s="30">
        <f t="shared" si="43"/>
        <v>0</v>
      </c>
      <c r="Q200" s="152">
        <v>35</v>
      </c>
      <c r="R200" s="162" cm="1">
        <f t="array" ref="R200">IFERROR(VLOOKUP(M200,perdues_amb_aillament,_xlfn.IFS(Q200=20,3,Q200=25,4,Q200=30,5,Q200=35,6,Q200=40,7,Q200=50,8)),)</f>
        <v>0.21999999999999997</v>
      </c>
      <c r="S200" s="30">
        <f t="shared" si="44"/>
        <v>0</v>
      </c>
      <c r="T200" s="35">
        <f t="shared" si="45"/>
        <v>0</v>
      </c>
      <c r="U200" s="160" cm="1">
        <f t="array" ref="U200">+VLOOKUP(M200,cost_aillament,_xlfn.IFS(Q200=20,3,Q200=25,4,Q200=30,5,Q200=35,6,Q200=40,7,Q200=45,8,Q200=50,9,Q200=55,10))*1.3</f>
        <v>23.635898000000008</v>
      </c>
      <c r="V200" s="160">
        <f t="shared" si="46"/>
        <v>0</v>
      </c>
    </row>
    <row r="201" spans="2:22">
      <c r="B201" s="17">
        <v>48</v>
      </c>
      <c r="C201" s="15">
        <v>2</v>
      </c>
      <c r="D201" s="36">
        <f t="shared" si="37"/>
        <v>0</v>
      </c>
      <c r="E201" s="30">
        <f t="shared" si="39"/>
        <v>0</v>
      </c>
      <c r="F201" s="152">
        <v>45</v>
      </c>
      <c r="G201" s="162" cm="1">
        <f t="array" ref="G201">IFERROR(VLOOKUP(B201,perdues_amb_aillament,_xlfn.IFS(F201=20,3,F201=25,4,F201=30,5,F201=35,6,F201=40,7,F201=50,8)),)</f>
        <v>0</v>
      </c>
      <c r="H201" s="30">
        <f t="shared" si="40"/>
        <v>0</v>
      </c>
      <c r="I201" s="35">
        <f t="shared" si="41"/>
        <v>0</v>
      </c>
      <c r="J201" s="160" cm="1">
        <f t="array" ref="J201">+VLOOKUP(B201,cost_aillament,_xlfn.IFS(F201=20,3,F201=25,4,F201=30,5,F201=35,6,F201=40,7,F201=45,8,F201=50,9,F201=55,10))*1.3</f>
        <v>47.15823908250001</v>
      </c>
      <c r="K201" s="160">
        <f t="shared" si="42"/>
        <v>0</v>
      </c>
      <c r="M201" s="17">
        <v>48</v>
      </c>
      <c r="N201" s="15">
        <v>2</v>
      </c>
      <c r="O201" s="36">
        <f t="shared" si="38"/>
        <v>0</v>
      </c>
      <c r="P201" s="30">
        <f t="shared" si="43"/>
        <v>0</v>
      </c>
      <c r="Q201" s="152">
        <v>35</v>
      </c>
      <c r="R201" s="162" cm="1">
        <f t="array" ref="R201">IFERROR(VLOOKUP(M201,perdues_amb_aillament,_xlfn.IFS(Q201=20,3,Q201=25,4,Q201=30,5,Q201=35,6,Q201=40,7,Q201=50,8)),)</f>
        <v>0.25</v>
      </c>
      <c r="S201" s="30">
        <f t="shared" si="44"/>
        <v>0</v>
      </c>
      <c r="T201" s="35">
        <f t="shared" si="45"/>
        <v>0</v>
      </c>
      <c r="U201" s="160" cm="1">
        <f t="array" ref="U201">+VLOOKUP(M201,cost_aillament,_xlfn.IFS(Q201=20,3,Q201=25,4,Q201=30,5,Q201=35,6,Q201=40,7,Q201=45,8,Q201=50,9,Q201=55,10))*1.3</f>
        <v>25.999487800000011</v>
      </c>
      <c r="V201" s="160">
        <f t="shared" si="46"/>
        <v>0</v>
      </c>
    </row>
    <row r="202" spans="2:22">
      <c r="B202" s="17">
        <v>54</v>
      </c>
      <c r="C202" s="15">
        <v>2</v>
      </c>
      <c r="D202" s="36">
        <f t="shared" si="37"/>
        <v>0</v>
      </c>
      <c r="E202" s="30">
        <f t="shared" si="39"/>
        <v>0</v>
      </c>
      <c r="F202" s="152">
        <v>45</v>
      </c>
      <c r="G202" s="162" cm="1">
        <f t="array" ref="G202">IFERROR(VLOOKUP(B202,perdues_amb_aillament,_xlfn.IFS(F202=20,3,F202=25,4,F202=30,5,F202=35,6,F202=40,7,F202=50,8)),)</f>
        <v>0</v>
      </c>
      <c r="H202" s="30">
        <f t="shared" si="40"/>
        <v>0</v>
      </c>
      <c r="I202" s="35">
        <f t="shared" si="41"/>
        <v>0</v>
      </c>
      <c r="J202" s="160" cm="1">
        <f t="array" ref="J202">+VLOOKUP(B202,cost_aillament,_xlfn.IFS(F202=20,3,F202=25,4,F202=30,5,F202=35,6,F202=40,7,F202=45,8,F202=50,9,F202=55,10))*1.3</f>
        <v>50.286599999999993</v>
      </c>
      <c r="K202" s="160">
        <f t="shared" si="42"/>
        <v>0</v>
      </c>
      <c r="M202" s="17">
        <v>54</v>
      </c>
      <c r="N202" s="15">
        <v>2</v>
      </c>
      <c r="O202" s="36">
        <f t="shared" si="38"/>
        <v>0</v>
      </c>
      <c r="P202" s="30">
        <f t="shared" si="43"/>
        <v>0</v>
      </c>
      <c r="Q202" s="152">
        <v>35</v>
      </c>
      <c r="R202" s="162" cm="1">
        <f t="array" ref="R202">IFERROR(VLOOKUP(M202,perdues_amb_aillament,_xlfn.IFS(Q202=20,3,Q202=25,4,Q202=30,5,Q202=35,6,Q202=40,7,Q202=50,8)),)</f>
        <v>0.28000000000000003</v>
      </c>
      <c r="S202" s="30">
        <f t="shared" si="44"/>
        <v>0</v>
      </c>
      <c r="T202" s="35">
        <f t="shared" si="45"/>
        <v>0</v>
      </c>
      <c r="U202" s="160" cm="1">
        <f t="array" ref="U202">+VLOOKUP(M202,cost_aillament,_xlfn.IFS(Q202=20,3,Q202=25,4,Q202=30,5,Q202=35,6,Q202=40,7,Q202=45,8,Q202=50,9,Q202=55,10))*1.3</f>
        <v>27.183</v>
      </c>
      <c r="V202" s="160">
        <f t="shared" si="46"/>
        <v>0</v>
      </c>
    </row>
    <row r="203" spans="2:22">
      <c r="B203" s="17">
        <v>64</v>
      </c>
      <c r="C203" s="22">
        <v>2.5</v>
      </c>
      <c r="D203" s="36">
        <f t="shared" si="37"/>
        <v>0</v>
      </c>
      <c r="E203" s="30">
        <f t="shared" si="39"/>
        <v>0</v>
      </c>
      <c r="F203" s="152">
        <v>45</v>
      </c>
      <c r="G203" s="162" cm="1">
        <f t="array" ref="G203">IFERROR(VLOOKUP(B203,perdues_amb_aillament,_xlfn.IFS(F203=20,3,F203=25,4,F203=30,5,F203=35,6,F203=40,7,F203=50,8)),)</f>
        <v>0</v>
      </c>
      <c r="H203" s="30">
        <f t="shared" si="40"/>
        <v>0</v>
      </c>
      <c r="I203" s="35">
        <f t="shared" si="41"/>
        <v>0</v>
      </c>
      <c r="J203" s="160" cm="1">
        <f t="array" ref="J203">+VLOOKUP(B203,cost_aillament,_xlfn.IFS(F203=20,3,F203=25,4,F203=30,5,F203=35,6,F203=40,7,F203=45,8,F203=50,9,F203=55,10))*1.3</f>
        <v>55.315259999999995</v>
      </c>
      <c r="K203" s="160">
        <f t="shared" si="42"/>
        <v>0</v>
      </c>
      <c r="M203" s="17">
        <v>64</v>
      </c>
      <c r="N203" s="22">
        <v>2.5</v>
      </c>
      <c r="O203" s="36">
        <f t="shared" si="38"/>
        <v>0</v>
      </c>
      <c r="P203" s="30">
        <f t="shared" si="43"/>
        <v>0</v>
      </c>
      <c r="Q203" s="152">
        <v>35</v>
      </c>
      <c r="R203" s="162" cm="1">
        <f t="array" ref="R203">IFERROR(VLOOKUP(M203,perdues_amb_aillament,_xlfn.IFS(Q203=20,3,Q203=25,4,Q203=30,5,Q203=35,6,Q203=40,7,Q203=50,8)),)</f>
        <v>0.31</v>
      </c>
      <c r="S203" s="30">
        <f t="shared" si="44"/>
        <v>0</v>
      </c>
      <c r="T203" s="35">
        <f t="shared" si="45"/>
        <v>0</v>
      </c>
      <c r="U203" s="160" cm="1">
        <f t="array" ref="U203">+VLOOKUP(M203,cost_aillament,_xlfn.IFS(Q203=20,3,Q203=25,4,Q203=30,5,Q203=35,6,Q203=40,7,Q203=45,8,Q203=50,9,Q203=55,10))*1.3</f>
        <v>29.901300000000003</v>
      </c>
      <c r="V203" s="160">
        <f t="shared" si="46"/>
        <v>0</v>
      </c>
    </row>
    <row r="204" spans="2:22">
      <c r="B204" s="17">
        <v>80</v>
      </c>
      <c r="C204" s="15">
        <v>3</v>
      </c>
      <c r="D204" s="36">
        <f t="shared" si="37"/>
        <v>0</v>
      </c>
      <c r="E204" s="30">
        <f t="shared" si="39"/>
        <v>0</v>
      </c>
      <c r="F204" s="152">
        <v>45</v>
      </c>
      <c r="G204" s="162" cm="1">
        <f t="array" ref="G204">IFERROR(VLOOKUP(B204,perdues_amb_aillament,_xlfn.IFS(F204=20,3,F204=25,4,F204=30,5,F204=35,6,F204=40,7,F204=50,8)),)</f>
        <v>0</v>
      </c>
      <c r="H204" s="30">
        <f t="shared" si="40"/>
        <v>0</v>
      </c>
      <c r="I204" s="35">
        <f t="shared" si="41"/>
        <v>0</v>
      </c>
      <c r="J204" s="160" cm="1">
        <f t="array" ref="J204">+VLOOKUP(B204,cost_aillament,_xlfn.IFS(F204=20,3,F204=25,4,F204=30,5,F204=35,6,F204=40,7,F204=45,8,F204=50,9,F204=55,10))*1.3</f>
        <v>60.846786000000002</v>
      </c>
      <c r="K204" s="160">
        <f t="shared" si="42"/>
        <v>0</v>
      </c>
      <c r="M204" s="17">
        <v>80</v>
      </c>
      <c r="N204" s="15">
        <v>3</v>
      </c>
      <c r="O204" s="36">
        <f t="shared" si="38"/>
        <v>0</v>
      </c>
      <c r="P204" s="30">
        <f t="shared" si="43"/>
        <v>0</v>
      </c>
      <c r="Q204" s="152">
        <v>35</v>
      </c>
      <c r="R204" s="162" cm="1">
        <f t="array" ref="R204">IFERROR(VLOOKUP(M204,perdues_amb_aillament,_xlfn.IFS(Q204=20,3,Q204=25,4,Q204=30,5,Q204=35,6,Q204=40,7,Q204=50,8)),)</f>
        <v>0.35499999999999998</v>
      </c>
      <c r="S204" s="30">
        <f t="shared" si="44"/>
        <v>0</v>
      </c>
      <c r="T204" s="35">
        <f t="shared" si="45"/>
        <v>0</v>
      </c>
      <c r="U204" s="160" cm="1">
        <f t="array" ref="U204">+VLOOKUP(M204,cost_aillament,_xlfn.IFS(Q204=20,3,Q204=25,4,Q204=30,5,Q204=35,6,Q204=40,7,Q204=45,8,Q204=50,9,Q204=55,10))*1.3</f>
        <v>32.891430000000007</v>
      </c>
      <c r="V204" s="160">
        <f t="shared" si="46"/>
        <v>0</v>
      </c>
    </row>
    <row r="205" spans="2:22">
      <c r="B205" s="17">
        <v>100</v>
      </c>
      <c r="C205" s="15">
        <v>4</v>
      </c>
      <c r="D205" s="36">
        <f t="shared" si="37"/>
        <v>0</v>
      </c>
      <c r="E205" s="30">
        <f t="shared" si="39"/>
        <v>0</v>
      </c>
      <c r="F205" s="152">
        <v>55</v>
      </c>
      <c r="G205" s="162" cm="1">
        <f t="array" ref="G205">IFERROR(VLOOKUP(B205,perdues_amb_aillament,_xlfn.IFS(F205=20,3,F205=25,4,F205=30,5,F205=35,6,F205=40,7,F205=50,8)),)</f>
        <v>0</v>
      </c>
      <c r="H205" s="30">
        <f t="shared" si="40"/>
        <v>0</v>
      </c>
      <c r="I205" s="35">
        <f t="shared" si="41"/>
        <v>0</v>
      </c>
      <c r="J205" s="160" cm="1">
        <f t="array" ref="J205">+VLOOKUP(B205,cost_aillament,_xlfn.IFS(F205=20,3,F205=25,4,F205=30,5,F205=35,6,F205=40,7,F205=45,8,F205=50,9,F205=55,10))*1.3</f>
        <v>81.805123400000014</v>
      </c>
      <c r="K205" s="160">
        <f t="shared" si="42"/>
        <v>0</v>
      </c>
      <c r="M205" s="17">
        <v>100</v>
      </c>
      <c r="N205" s="15">
        <v>4</v>
      </c>
      <c r="O205" s="36">
        <f t="shared" si="38"/>
        <v>0</v>
      </c>
      <c r="P205" s="30">
        <f t="shared" si="43"/>
        <v>0</v>
      </c>
      <c r="Q205" s="152">
        <v>45</v>
      </c>
      <c r="R205" s="162" cm="1">
        <f t="array" ref="R205">IFERROR(VLOOKUP(M205,perdues_amb_aillament,_xlfn.IFS(Q205=20,3,Q205=25,4,Q205=30,5,Q205=35,6,Q205=40,7,Q205=50,8)),)</f>
        <v>0</v>
      </c>
      <c r="S205" s="30">
        <f t="shared" si="44"/>
        <v>0</v>
      </c>
      <c r="T205" s="35">
        <f t="shared" si="45"/>
        <v>0</v>
      </c>
      <c r="U205" s="160" cm="1">
        <f t="array" ref="U205">+VLOOKUP(M205,cost_aillament,_xlfn.IFS(Q205=20,3,Q205=25,4,Q205=30,5,Q205=35,6,Q205=40,7,Q205=45,8,Q205=50,9,Q205=55,10))*1.3</f>
        <v>66.931464599999998</v>
      </c>
      <c r="V205" s="160">
        <f t="shared" si="46"/>
        <v>0</v>
      </c>
    </row>
    <row r="206" spans="2:22">
      <c r="B206" s="11" t="s">
        <v>94</v>
      </c>
      <c r="C206" s="24"/>
      <c r="D206" s="17">
        <f>SUM(D196:D205)</f>
        <v>0</v>
      </c>
      <c r="E206" s="17"/>
      <c r="F206" s="11"/>
      <c r="G206" s="11"/>
      <c r="H206" s="30" t="str">
        <f>IFERROR(I206*1000/D206,"-")</f>
        <v>-</v>
      </c>
      <c r="I206" s="35">
        <f>SUM(I196:I205)</f>
        <v>0</v>
      </c>
      <c r="J206" s="160" t="str">
        <f>+IFERROR(K206/D206,"")</f>
        <v/>
      </c>
      <c r="K206" s="160">
        <f>SUM(K196:K205)</f>
        <v>0</v>
      </c>
      <c r="M206" s="11" t="s">
        <v>94</v>
      </c>
      <c r="N206" s="24"/>
      <c r="O206" s="17">
        <f>SUM(O196:O205)</f>
        <v>0</v>
      </c>
      <c r="P206" s="17"/>
      <c r="Q206" s="11"/>
      <c r="R206" s="11"/>
      <c r="S206" s="30" t="str">
        <f>IFERROR(T206*1000/O206,"-")</f>
        <v>-</v>
      </c>
      <c r="T206" s="35">
        <f>SUM(T196:T205)</f>
        <v>0</v>
      </c>
      <c r="U206" s="160" t="str">
        <f>+IFERROR(V206/O206,"")</f>
        <v/>
      </c>
      <c r="V206" s="160">
        <f>SUM(V196:V205)</f>
        <v>0</v>
      </c>
    </row>
    <row r="207" spans="2:22">
      <c r="B207" s="3" t="s">
        <v>317</v>
      </c>
    </row>
    <row r="209" spans="2:13">
      <c r="B209" s="2" t="s">
        <v>66</v>
      </c>
    </row>
    <row r="210" spans="2:13" ht="43.2">
      <c r="B210" s="13" t="s">
        <v>9</v>
      </c>
      <c r="C210" s="14"/>
      <c r="D210" s="31" t="s">
        <v>34</v>
      </c>
      <c r="E210" s="32" t="s">
        <v>35</v>
      </c>
      <c r="F210" s="32" t="s">
        <v>103</v>
      </c>
      <c r="G210" s="31" t="s">
        <v>36</v>
      </c>
      <c r="I210" s="180" t="s">
        <v>47</v>
      </c>
      <c r="J210" s="181"/>
      <c r="K210" s="181"/>
      <c r="L210" s="181"/>
      <c r="M210" s="182"/>
    </row>
    <row r="211" spans="2:13">
      <c r="B211" s="17" t="s">
        <v>16</v>
      </c>
      <c r="C211" s="17" t="s">
        <v>17</v>
      </c>
      <c r="D211" s="33" t="s">
        <v>18</v>
      </c>
      <c r="E211" s="34" t="s">
        <v>20</v>
      </c>
      <c r="F211" s="34" t="s">
        <v>32</v>
      </c>
      <c r="G211" s="33" t="s">
        <v>37</v>
      </c>
      <c r="I211" s="8" t="s">
        <v>44</v>
      </c>
      <c r="J211" s="9"/>
      <c r="K211" s="9"/>
      <c r="L211" s="9">
        <f>+D222</f>
        <v>0</v>
      </c>
      <c r="M211" s="10" t="s">
        <v>18</v>
      </c>
    </row>
    <row r="212" spans="2:13">
      <c r="B212" s="17">
        <v>15</v>
      </c>
      <c r="C212" s="19" t="s">
        <v>22</v>
      </c>
      <c r="D212" s="36">
        <f t="shared" ref="D212:D221" si="47">+D93</f>
        <v>0</v>
      </c>
      <c r="E212" s="35">
        <f t="shared" ref="E212:E221" si="48">+I196+P63+P78+T196</f>
        <v>0</v>
      </c>
      <c r="F212" s="37" t="e">
        <f t="shared" ref="F212:F221" si="49">+E212*$H$53/$H$54</f>
        <v>#DIV/0!</v>
      </c>
      <c r="G212" s="158" t="e">
        <f t="shared" ref="G212:G221" si="50">+F212*$H$55</f>
        <v>#DIV/0!</v>
      </c>
      <c r="I212" s="8" t="s">
        <v>45</v>
      </c>
      <c r="J212" s="9"/>
      <c r="K212" s="56"/>
      <c r="L212" s="56" t="e">
        <f>+E222*1000/L211</f>
        <v>#DIV/0!</v>
      </c>
      <c r="M212" s="10" t="s">
        <v>19</v>
      </c>
    </row>
    <row r="213" spans="2:13">
      <c r="B213" s="17">
        <v>22</v>
      </c>
      <c r="C213" s="21" t="s">
        <v>23</v>
      </c>
      <c r="D213" s="36">
        <f t="shared" si="47"/>
        <v>0</v>
      </c>
      <c r="E213" s="35">
        <f t="shared" si="48"/>
        <v>0</v>
      </c>
      <c r="F213" s="37" t="e">
        <f>+E213*$H$53/$H$54</f>
        <v>#DIV/0!</v>
      </c>
      <c r="G213" s="158" t="e">
        <f t="shared" si="50"/>
        <v>#DIV/0!</v>
      </c>
      <c r="I213" s="8" t="s">
        <v>105</v>
      </c>
      <c r="J213" s="9"/>
      <c r="K213" s="62"/>
      <c r="L213" s="62">
        <f>+E222</f>
        <v>0</v>
      </c>
      <c r="M213" s="10" t="s">
        <v>20</v>
      </c>
    </row>
    <row r="214" spans="2:13">
      <c r="B214" s="17">
        <v>28</v>
      </c>
      <c r="C214" s="15">
        <v>1</v>
      </c>
      <c r="D214" s="36">
        <f t="shared" si="47"/>
        <v>0</v>
      </c>
      <c r="E214" s="35">
        <f t="shared" si="48"/>
        <v>0</v>
      </c>
      <c r="F214" s="37" t="e">
        <f t="shared" si="49"/>
        <v>#DIV/0!</v>
      </c>
      <c r="G214" s="158" t="e">
        <f t="shared" si="50"/>
        <v>#DIV/0!</v>
      </c>
      <c r="I214" s="134" t="s">
        <v>157</v>
      </c>
      <c r="J214" s="53"/>
      <c r="K214" s="54"/>
      <c r="L214" s="54" t="e">
        <f>+F222</f>
        <v>#DIV/0!</v>
      </c>
      <c r="M214" s="135" t="s">
        <v>32</v>
      </c>
    </row>
    <row r="215" spans="2:13">
      <c r="B215" s="17">
        <v>35</v>
      </c>
      <c r="C215" s="22">
        <v>1.25</v>
      </c>
      <c r="D215" s="36">
        <f t="shared" si="47"/>
        <v>0</v>
      </c>
      <c r="E215" s="35">
        <f t="shared" si="48"/>
        <v>0</v>
      </c>
      <c r="F215" s="37" t="e">
        <f t="shared" si="49"/>
        <v>#DIV/0!</v>
      </c>
      <c r="G215" s="158" t="e">
        <f t="shared" si="50"/>
        <v>#DIV/0!</v>
      </c>
      <c r="I215" s="131" t="s">
        <v>362</v>
      </c>
      <c r="L215" s="51" t="e">
        <f>$L$52+L214/$D$7*$D$9</f>
        <v>#DIV/0!</v>
      </c>
      <c r="M215" s="98" t="s">
        <v>32</v>
      </c>
    </row>
    <row r="216" spans="2:13">
      <c r="B216" s="17">
        <v>42</v>
      </c>
      <c r="C216" s="22">
        <v>1.5</v>
      </c>
      <c r="D216" s="36">
        <f t="shared" si="47"/>
        <v>0</v>
      </c>
      <c r="E216" s="35">
        <f t="shared" si="48"/>
        <v>0</v>
      </c>
      <c r="F216" s="37" t="e">
        <f t="shared" si="49"/>
        <v>#DIV/0!</v>
      </c>
      <c r="G216" s="158" t="e">
        <f t="shared" si="50"/>
        <v>#DIV/0!</v>
      </c>
      <c r="I216" s="8" t="s">
        <v>46</v>
      </c>
      <c r="J216" s="9"/>
      <c r="K216" s="51"/>
      <c r="L216" s="51" t="e">
        <f>+L214*$D$11+L215*$D$12</f>
        <v>#DIV/0!</v>
      </c>
      <c r="M216" s="10" t="s">
        <v>37</v>
      </c>
    </row>
    <row r="217" spans="2:13">
      <c r="B217" s="17">
        <v>48</v>
      </c>
      <c r="C217" s="15">
        <v>2</v>
      </c>
      <c r="D217" s="36">
        <f t="shared" si="47"/>
        <v>0</v>
      </c>
      <c r="E217" s="35">
        <f t="shared" si="48"/>
        <v>0</v>
      </c>
      <c r="F217" s="37" t="e">
        <f t="shared" si="49"/>
        <v>#DIV/0!</v>
      </c>
      <c r="G217" s="158" t="e">
        <f t="shared" si="50"/>
        <v>#DIV/0!</v>
      </c>
      <c r="I217" s="8" t="s">
        <v>86</v>
      </c>
      <c r="J217" s="9"/>
      <c r="K217" s="51"/>
      <c r="L217" s="51" t="e">
        <f>+L214*$D$13+L215*$D$14</f>
        <v>#DIV/0!</v>
      </c>
      <c r="M217" s="183" t="s">
        <v>65</v>
      </c>
    </row>
    <row r="218" spans="2:13" ht="15" thickBot="1">
      <c r="B218" s="17">
        <v>54</v>
      </c>
      <c r="C218" s="15">
        <v>2</v>
      </c>
      <c r="D218" s="36">
        <f t="shared" si="47"/>
        <v>0</v>
      </c>
      <c r="E218" s="35">
        <f t="shared" si="48"/>
        <v>0</v>
      </c>
      <c r="F218" s="37" t="e">
        <f t="shared" si="49"/>
        <v>#DIV/0!</v>
      </c>
      <c r="G218" s="158" t="e">
        <f t="shared" si="50"/>
        <v>#DIV/0!</v>
      </c>
    </row>
    <row r="219" spans="2:13">
      <c r="B219" s="17">
        <v>64</v>
      </c>
      <c r="C219" s="22">
        <v>2.5</v>
      </c>
      <c r="D219" s="36">
        <f t="shared" si="47"/>
        <v>0</v>
      </c>
      <c r="E219" s="35">
        <f t="shared" si="48"/>
        <v>0</v>
      </c>
      <c r="F219" s="37" t="e">
        <f t="shared" si="49"/>
        <v>#DIV/0!</v>
      </c>
      <c r="G219" s="158" t="e">
        <f t="shared" si="50"/>
        <v>#DIV/0!</v>
      </c>
      <c r="I219" s="94" t="s">
        <v>50</v>
      </c>
      <c r="J219" s="95"/>
      <c r="K219" s="95"/>
      <c r="L219" s="95"/>
      <c r="M219" s="96"/>
    </row>
    <row r="220" spans="2:13">
      <c r="B220" s="17">
        <v>80</v>
      </c>
      <c r="C220" s="15">
        <v>3</v>
      </c>
      <c r="D220" s="36">
        <f t="shared" si="47"/>
        <v>0</v>
      </c>
      <c r="E220" s="35">
        <f t="shared" si="48"/>
        <v>0</v>
      </c>
      <c r="F220" s="37" t="e">
        <f t="shared" si="49"/>
        <v>#DIV/0!</v>
      </c>
      <c r="G220" s="158" t="e">
        <f t="shared" si="50"/>
        <v>#DIV/0!</v>
      </c>
      <c r="I220" s="81" t="s">
        <v>159</v>
      </c>
      <c r="J220" s="9"/>
      <c r="K220" s="9"/>
      <c r="L220" s="9">
        <f>+D206+O206</f>
        <v>0</v>
      </c>
      <c r="M220" s="82" t="s">
        <v>18</v>
      </c>
    </row>
    <row r="221" spans="2:13">
      <c r="B221" s="17">
        <v>100</v>
      </c>
      <c r="C221" s="15">
        <v>4</v>
      </c>
      <c r="D221" s="36">
        <f t="shared" si="47"/>
        <v>0</v>
      </c>
      <c r="E221" s="35">
        <f t="shared" si="48"/>
        <v>0</v>
      </c>
      <c r="F221" s="37" t="e">
        <f t="shared" si="49"/>
        <v>#DIV/0!</v>
      </c>
      <c r="G221" s="158" t="e">
        <f t="shared" si="50"/>
        <v>#DIV/0!</v>
      </c>
      <c r="I221" s="81" t="s">
        <v>441</v>
      </c>
      <c r="J221" s="9"/>
      <c r="K221" s="157"/>
      <c r="L221" s="157">
        <f>(K206+V206)*1.19*1.21</f>
        <v>0</v>
      </c>
      <c r="M221" s="87" t="str">
        <f>IFERROR(L221/L220,"-")</f>
        <v>-</v>
      </c>
    </row>
    <row r="222" spans="2:13">
      <c r="B222" s="90" t="s">
        <v>24</v>
      </c>
      <c r="C222" s="90"/>
      <c r="D222" s="58">
        <f>SUM(D212:D221)</f>
        <v>0</v>
      </c>
      <c r="E222" s="59">
        <f>SUM(E212:E221)</f>
        <v>0</v>
      </c>
      <c r="F222" s="60" t="e">
        <f>SUM(F212:F221)</f>
        <v>#DIV/0!</v>
      </c>
      <c r="G222" s="159" t="e">
        <f>SUM(G212:G221)</f>
        <v>#DIV/0!</v>
      </c>
      <c r="I222" s="81" t="s">
        <v>48</v>
      </c>
      <c r="J222" s="9"/>
      <c r="K222" s="157"/>
      <c r="L222" s="157" t="e">
        <f>+L99-L216</f>
        <v>#DIV/0!</v>
      </c>
      <c r="M222" s="82"/>
    </row>
    <row r="223" spans="2:13">
      <c r="I223" s="81" t="s">
        <v>49</v>
      </c>
      <c r="J223" s="9"/>
      <c r="K223" s="189"/>
      <c r="L223" s="189">
        <f>IFERROR(L221/L222,)*12</f>
        <v>0</v>
      </c>
      <c r="M223" s="82" t="s">
        <v>137</v>
      </c>
    </row>
    <row r="224" spans="2:13">
      <c r="I224" s="88" t="s">
        <v>273</v>
      </c>
      <c r="J224" s="53"/>
      <c r="K224" s="54"/>
      <c r="L224" s="54" t="e">
        <f>+L97+L98-L214-L215</f>
        <v>#DIV/0!</v>
      </c>
      <c r="M224" s="89" t="s">
        <v>32</v>
      </c>
    </row>
    <row r="225" spans="2:13">
      <c r="I225" s="81" t="s">
        <v>365</v>
      </c>
      <c r="J225" s="9"/>
      <c r="K225" s="52"/>
      <c r="L225" s="52" t="e">
        <f>+L224/(L97+L98)</f>
        <v>#DIV/0!</v>
      </c>
      <c r="M225" s="82"/>
    </row>
    <row r="226" spans="2:13" ht="15" thickBot="1">
      <c r="I226" s="83" t="s">
        <v>51</v>
      </c>
      <c r="J226" s="84"/>
      <c r="K226" s="85"/>
      <c r="L226" s="85" t="e">
        <f>+L100-L217</f>
        <v>#DIV/0!</v>
      </c>
      <c r="M226" s="86" t="s">
        <v>65</v>
      </c>
    </row>
    <row r="227" spans="2:13">
      <c r="K227" s="39"/>
      <c r="L227" s="39"/>
      <c r="M227" s="7"/>
    </row>
    <row r="228" spans="2:13">
      <c r="B228" s="129" t="s">
        <v>394</v>
      </c>
      <c r="C228" s="42"/>
      <c r="D228" s="42"/>
      <c r="E228" s="42"/>
      <c r="F228" s="42"/>
      <c r="G228" s="42"/>
      <c r="H228" s="42"/>
      <c r="I228" s="42"/>
      <c r="J228" s="42"/>
      <c r="K228" s="42"/>
    </row>
    <row r="229" spans="2:13">
      <c r="C229" s="142" t="s">
        <v>302</v>
      </c>
      <c r="D229" s="142" t="s">
        <v>304</v>
      </c>
      <c r="E229" s="143" t="s">
        <v>70</v>
      </c>
      <c r="F229" s="142" t="str">
        <f>+F32</f>
        <v>quantitat</v>
      </c>
      <c r="G229" s="142" t="s">
        <v>304</v>
      </c>
      <c r="H229" s="143" t="s">
        <v>70</v>
      </c>
      <c r="I229" s="142" t="s">
        <v>379</v>
      </c>
    </row>
    <row r="230" spans="2:13">
      <c r="C230" s="33" t="s">
        <v>300</v>
      </c>
      <c r="D230" s="33" t="s">
        <v>377</v>
      </c>
      <c r="E230" s="144" t="s">
        <v>377</v>
      </c>
      <c r="F230" s="33" t="str">
        <f>+F33</f>
        <v>uts</v>
      </c>
      <c r="G230" s="33" t="s">
        <v>378</v>
      </c>
      <c r="H230" s="144" t="s">
        <v>377</v>
      </c>
      <c r="I230" s="33"/>
    </row>
    <row r="231" spans="2:13">
      <c r="B231" s="11" t="s">
        <v>306</v>
      </c>
      <c r="C231" s="197">
        <f t="shared" ref="C231:D233" si="51">+C34</f>
        <v>0</v>
      </c>
      <c r="D231" s="36">
        <f t="shared" si="51"/>
        <v>0</v>
      </c>
      <c r="E231" s="30" cm="1">
        <f t="array" ref="E231">IFERROR(VLOOKUP(C231,perdues_diposit,_xlfn.IFS(D231="A+",2,D231="A",3,D231="B",4,D231="C",5,D231="D",6,D231="E",7,D231="F",8,D231="G",9),0)/45,)</f>
        <v>0</v>
      </c>
      <c r="F231" s="197">
        <f>+F34</f>
        <v>0</v>
      </c>
      <c r="G231" s="156">
        <f>+DADES_ACTUAL!E104</f>
        <v>0</v>
      </c>
      <c r="H231" s="30" cm="1">
        <f t="array" ref="H231">IFERROR(VLOOKUP(C231,perdues_diposit,_xlfn.IFS(G231="A+",2,G231="A",3,G231="B",4,G231="C",5,G231="D",6,G231="E",7,G231="F",8,G231="G",9),0)/45,)</f>
        <v>0</v>
      </c>
      <c r="I231" s="196">
        <f>IFERROR(IF(G231&lt;&gt;0,(E231-H231)/E231,0),)</f>
        <v>0</v>
      </c>
    </row>
    <row r="232" spans="2:13">
      <c r="B232" s="11" t="s">
        <v>307</v>
      </c>
      <c r="C232" s="197">
        <f t="shared" si="51"/>
        <v>0</v>
      </c>
      <c r="D232" s="36">
        <f t="shared" si="51"/>
        <v>0</v>
      </c>
      <c r="E232" s="30" cm="1">
        <f t="array" ref="E232">IFERROR(VLOOKUP(C232,perdues_diposit,_xlfn.IFS(D232="A+",2,D232="A",3,D232="B",4,D232="C",5,D232="D",6,D232="E",7,D232="F",8,D232="G",9),0)/45,)</f>
        <v>0</v>
      </c>
      <c r="F232" s="197">
        <f>+F35</f>
        <v>0</v>
      </c>
      <c r="G232" s="156">
        <f>+DADES_ACTUAL!E105</f>
        <v>0</v>
      </c>
      <c r="H232" s="30" cm="1">
        <f t="array" ref="H232">IFERROR(VLOOKUP(C232,perdues_diposit,_xlfn.IFS(G232="A+",2,G232="A",3,G232="B",4,G232="C",5,G232="D",6,G232="E",7,G232="F",8,G232="G",9),0)/45,)</f>
        <v>0</v>
      </c>
      <c r="I232" s="196">
        <f t="shared" ref="I232:I233" si="52">IFERROR(IF(G232&lt;&gt;0,(E232-H232)/E232,0),)</f>
        <v>0</v>
      </c>
    </row>
    <row r="233" spans="2:13">
      <c r="B233" s="11" t="s">
        <v>329</v>
      </c>
      <c r="C233" s="197">
        <f t="shared" si="51"/>
        <v>0</v>
      </c>
      <c r="D233" s="36">
        <f t="shared" si="51"/>
        <v>0</v>
      </c>
      <c r="E233" s="30" cm="1">
        <f t="array" ref="E233">IFERROR(VLOOKUP(C233,perdues_diposit,_xlfn.IFS(D233="A+",2,D233="A",3,D233="B",4,D233="C",5,D233="D",6,D233="E",7,D233="F",8,D233="G",9),0)/45,)</f>
        <v>0</v>
      </c>
      <c r="F233" s="197">
        <f>+F36</f>
        <v>0</v>
      </c>
      <c r="G233" s="156">
        <f>+DADES_ACTUAL!E106</f>
        <v>0</v>
      </c>
      <c r="H233" s="30" cm="1">
        <f t="array" ref="H233">IFERROR(VLOOKUP(C233,perdues_diposit,_xlfn.IFS(G233="A+",2,G233="A",3,G233="B",4,G233="C",5,G233="D",6,G233="E",7,G233="F",8,G233="G",9),0)/45,)</f>
        <v>0</v>
      </c>
      <c r="I233" s="196">
        <f t="shared" si="52"/>
        <v>0</v>
      </c>
    </row>
    <row r="234" spans="2:13">
      <c r="B234" s="3" t="s">
        <v>139</v>
      </c>
      <c r="D234" s="39">
        <f>+D38</f>
        <v>0</v>
      </c>
      <c r="E234" s="3" t="s">
        <v>68</v>
      </c>
    </row>
    <row r="235" spans="2:13">
      <c r="B235" s="2" t="s">
        <v>383</v>
      </c>
      <c r="C235" s="2"/>
      <c r="D235" s="155">
        <f>+H231*F231+H232*F232+H233*F233</f>
        <v>0</v>
      </c>
      <c r="E235" s="200" t="s">
        <v>75</v>
      </c>
    </row>
    <row r="236" spans="2:13">
      <c r="B236" s="3" t="s">
        <v>127</v>
      </c>
      <c r="D236" s="46">
        <f>+D40</f>
        <v>0</v>
      </c>
      <c r="E236" s="3" t="s">
        <v>1</v>
      </c>
    </row>
    <row r="237" spans="2:13">
      <c r="B237" s="3" t="s">
        <v>128</v>
      </c>
      <c r="D237" s="46">
        <f>+D41</f>
        <v>0</v>
      </c>
      <c r="E237" s="3" t="s">
        <v>1</v>
      </c>
    </row>
    <row r="238" spans="2:13">
      <c r="B238" s="3" t="s">
        <v>113</v>
      </c>
      <c r="D238" s="23">
        <f>+D235*(D236-D237)</f>
        <v>0</v>
      </c>
      <c r="E238" s="3" t="s">
        <v>112</v>
      </c>
    </row>
    <row r="239" spans="2:13">
      <c r="B239" s="3" t="s">
        <v>271</v>
      </c>
      <c r="D239" s="107">
        <f>+D238*0.024</f>
        <v>0</v>
      </c>
      <c r="E239" s="3" t="s">
        <v>74</v>
      </c>
    </row>
    <row r="240" spans="2:13">
      <c r="B240" s="3" t="s">
        <v>87</v>
      </c>
      <c r="D240" s="3">
        <f>+D44</f>
        <v>0</v>
      </c>
      <c r="E240" s="3" t="s">
        <v>88</v>
      </c>
    </row>
    <row r="241" spans="2:13">
      <c r="B241" s="3" t="s">
        <v>90</v>
      </c>
      <c r="D241" s="39">
        <f>+D239*D240</f>
        <v>0</v>
      </c>
      <c r="E241" s="3" t="s">
        <v>32</v>
      </c>
    </row>
    <row r="242" spans="2:13">
      <c r="B242" s="3" t="s">
        <v>102</v>
      </c>
      <c r="D242" s="39" t="e">
        <f>+D241/$D$8</f>
        <v>#DIV/0!</v>
      </c>
      <c r="E242" s="3" t="s">
        <v>32</v>
      </c>
    </row>
    <row r="243" spans="2:13">
      <c r="B243" s="3" t="s">
        <v>359</v>
      </c>
      <c r="D243" s="39" t="e">
        <f>(D242/$D$7+D240*0.17)*$D$9</f>
        <v>#DIV/0!</v>
      </c>
      <c r="E243" s="3" t="s">
        <v>32</v>
      </c>
    </row>
    <row r="244" spans="2:13">
      <c r="B244" s="3" t="s">
        <v>380</v>
      </c>
      <c r="D244" s="39" t="e">
        <f>IF(AND(D235&gt;0,D46-D242&gt;0),D46-D242,0)</f>
        <v>#DIV/0!</v>
      </c>
      <c r="E244" s="3" t="s">
        <v>32</v>
      </c>
    </row>
    <row r="245" spans="2:13">
      <c r="B245" s="3" t="s">
        <v>381</v>
      </c>
      <c r="D245" s="39" t="e">
        <f>IF(AND(D235&gt;0,D47-D243&gt;0),D47-D243,0)</f>
        <v>#DIV/0!</v>
      </c>
      <c r="E245" s="3" t="s">
        <v>32</v>
      </c>
    </row>
    <row r="246" spans="2:13">
      <c r="B246" s="2" t="s">
        <v>273</v>
      </c>
      <c r="C246" s="2"/>
      <c r="D246" s="44" t="e">
        <f>+D245+D244</f>
        <v>#DIV/0!</v>
      </c>
      <c r="E246" s="2" t="s">
        <v>32</v>
      </c>
      <c r="F246" s="124" t="e">
        <f>+D246/(D46+D47)</f>
        <v>#DIV/0!</v>
      </c>
    </row>
    <row r="247" spans="2:13">
      <c r="B247" s="3" t="s">
        <v>99</v>
      </c>
      <c r="D247" s="39" t="e">
        <f>+D244*$D$11+D245*$D$12</f>
        <v>#DIV/0!</v>
      </c>
      <c r="E247" s="3" t="s">
        <v>37</v>
      </c>
      <c r="F247" s="40"/>
    </row>
    <row r="248" spans="2:13">
      <c r="B248" s="3" t="s">
        <v>100</v>
      </c>
      <c r="D248" s="39" t="e">
        <f>+D244*$D$13+D245*$D$14</f>
        <v>#DIV/0!</v>
      </c>
      <c r="E248" s="7" t="s">
        <v>98</v>
      </c>
    </row>
    <row r="249" spans="2:13">
      <c r="B249" s="3" t="s">
        <v>135</v>
      </c>
      <c r="D249" s="153">
        <f>+DADES_ACTUAL!D107</f>
        <v>0</v>
      </c>
      <c r="E249" s="3" t="s">
        <v>43</v>
      </c>
    </row>
    <row r="250" spans="2:13">
      <c r="B250" s="3" t="s">
        <v>136</v>
      </c>
      <c r="D250" s="23">
        <f>IFERROR(D249/D247*12,)</f>
        <v>0</v>
      </c>
      <c r="E250" s="3" t="s">
        <v>137</v>
      </c>
    </row>
    <row r="252" spans="2:13">
      <c r="B252" s="1" t="s">
        <v>925</v>
      </c>
      <c r="C252" s="1"/>
      <c r="D252" s="1"/>
      <c r="E252" s="1"/>
      <c r="F252" s="1"/>
      <c r="G252" s="1"/>
      <c r="H252" s="1"/>
      <c r="I252" s="1"/>
      <c r="J252" s="1"/>
      <c r="K252" s="1"/>
      <c r="L252" s="1"/>
      <c r="M252" s="1"/>
    </row>
    <row r="253" spans="2:13">
      <c r="B253" s="3" t="s">
        <v>436</v>
      </c>
      <c r="D253" s="154">
        <f>+D124+D131+D146+D157+L221+D249</f>
        <v>0</v>
      </c>
      <c r="E253" s="3" t="s">
        <v>43</v>
      </c>
    </row>
    <row r="254" spans="2:13">
      <c r="B254" s="3" t="s">
        <v>419</v>
      </c>
      <c r="D254" s="154"/>
      <c r="E254" s="3" t="s">
        <v>37</v>
      </c>
    </row>
    <row r="255" spans="2:13">
      <c r="B255" s="3" t="s">
        <v>420</v>
      </c>
      <c r="D255" s="154"/>
      <c r="E255" s="3" t="s">
        <v>421</v>
      </c>
    </row>
    <row r="256" spans="2:13">
      <c r="B256" s="3" t="s">
        <v>423</v>
      </c>
      <c r="D256" s="39"/>
      <c r="E256" s="3" t="s">
        <v>37</v>
      </c>
    </row>
    <row r="257" spans="2:5">
      <c r="B257" s="3" t="s">
        <v>432</v>
      </c>
      <c r="D257" s="39"/>
      <c r="E257" s="3" t="s">
        <v>32</v>
      </c>
    </row>
    <row r="258" spans="2:5">
      <c r="B258" s="3" t="s">
        <v>425</v>
      </c>
      <c r="D258" s="237"/>
      <c r="E258" s="3" t="s">
        <v>424</v>
      </c>
    </row>
    <row r="259" spans="2:5">
      <c r="B259" s="3" t="s">
        <v>422</v>
      </c>
      <c r="D259" s="237"/>
      <c r="E259" s="3" t="s">
        <v>4</v>
      </c>
    </row>
    <row r="260" spans="2:5">
      <c r="B260" s="3" t="s">
        <v>426</v>
      </c>
      <c r="D260" s="239" t="e">
        <f>+D122+D129+D142+D155+L222+D247</f>
        <v>#DIV/0!</v>
      </c>
      <c r="E260" s="3" t="s">
        <v>37</v>
      </c>
    </row>
    <row r="261" spans="2:5">
      <c r="B261" s="3" t="s">
        <v>433</v>
      </c>
      <c r="D261" s="242"/>
    </row>
    <row r="262" spans="2:5">
      <c r="B262" s="3" t="s">
        <v>434</v>
      </c>
      <c r="D262" s="249">
        <f>+IFERROR(IF(D260&lt;0,"no estalvi",(D253/D260)),)</f>
        <v>0</v>
      </c>
      <c r="E262" s="3" t="s">
        <v>421</v>
      </c>
    </row>
  </sheetData>
  <sheetProtection sheet="1" objects="1" scenarios="1"/>
  <mergeCells count="11">
    <mergeCell ref="A176:A189"/>
    <mergeCell ref="D6:E6"/>
    <mergeCell ref="D10:E10"/>
    <mergeCell ref="A60:A73"/>
    <mergeCell ref="A75:A88"/>
    <mergeCell ref="B59:G59"/>
    <mergeCell ref="D5:E5"/>
    <mergeCell ref="I59:P59"/>
    <mergeCell ref="B160:G160"/>
    <mergeCell ref="I160:P160"/>
    <mergeCell ref="A161:A174"/>
  </mergeCells>
  <pageMargins left="0.39370078740157483" right="0.39370078740157483" top="0.74803149606299213" bottom="0.74803149606299213" header="0.31496062992125984" footer="0.31496062992125984"/>
  <pageSetup paperSize="9" scale="66" orientation="portrait" r:id="rId1"/>
  <rowBreaks count="1" manualBreakCount="1">
    <brk id="57" max="13" man="1"/>
  </rowBreaks>
  <drawing r:id="rId2"/>
  <legacyDrawing r:id="rId3"/>
  <extLst>
    <ext xmlns:x14="http://schemas.microsoft.com/office/spreadsheetml/2009/9/main" uri="{78C0D931-6437-407d-A8EE-F0AAD7539E65}">
      <x14:conditionalFormattings>
        <x14:conditionalFormatting xmlns:xm="http://schemas.microsoft.com/office/excel/2006/main">
          <x14:cfRule type="iconSet" priority="2" id="{F94B7436-A646-4361-B089-C6034D5E878B}">
            <x14:iconSet iconSet="3Symbols2" custom="1">
              <x14:cfvo type="percent">
                <xm:f>0</xm:f>
              </x14:cfvo>
              <x14:cfvo type="num">
                <xm:f>50</xm:f>
              </x14:cfvo>
              <x14:cfvo type="num" gte="0">
                <xm:f>50</xm:f>
              </x14:cfvo>
              <x14:cfIcon iconSet="3Symbols2" iconId="0"/>
              <x14:cfIcon iconSet="3Symbols2" iconId="2"/>
              <x14:cfIcon iconSet="3Symbols2" iconId="2"/>
            </x14:iconSet>
          </x14:cfRule>
          <xm:sqref>E150</xm:sqref>
        </x14:conditionalFormatting>
        <x14:conditionalFormatting xmlns:xm="http://schemas.microsoft.com/office/excel/2006/main">
          <x14:cfRule type="iconSet" priority="1" id="{BE6D2A21-545A-4403-8037-572CFE894D85}">
            <x14:iconSet iconSet="3Symbols2" custom="1">
              <x14:cfvo type="percent">
                <xm:f>0</xm:f>
              </x14:cfvo>
              <x14:cfvo type="num">
                <xm:f>50</xm:f>
              </x14:cfvo>
              <x14:cfvo type="num" gte="0">
                <xm:f>50</xm:f>
              </x14:cfvo>
              <x14:cfIcon iconSet="3Symbols2" iconId="0"/>
              <x14:cfIcon iconSet="3Symbols2" iconId="2"/>
              <x14:cfIcon iconSet="3Symbols2" iconId="2"/>
            </x14:iconSet>
          </x14:cfRule>
          <xm:sqref>E151</xm:sqref>
        </x14:conditionalFormatting>
        <x14:conditionalFormatting xmlns:xm="http://schemas.microsoft.com/office/excel/2006/main">
          <x14:cfRule type="iconSet" priority="3" id="{7AAB912C-14BF-41CB-AD44-BC79C7BDA11D}">
            <x14:iconSet iconSet="3Symbols2" custom="1">
              <x14:cfvo type="percent">
                <xm:f>0</xm:f>
              </x14:cfvo>
              <x14:cfvo type="num">
                <xm:f>50</xm:f>
              </x14:cfvo>
              <x14:cfvo type="num" gte="0">
                <xm:f>50</xm:f>
              </x14:cfvo>
              <x14:cfIcon iconSet="3Symbols2" iconId="0"/>
              <x14:cfIcon iconSet="3Symbols2" iconId="2"/>
              <x14:cfIcon iconSet="3Symbols2" iconId="2"/>
            </x14:iconSet>
          </x14:cfRule>
          <xm:sqref>L54</xm:sqref>
        </x14:conditionalFormatting>
      </x14:conditionalFormattings>
    </ext>
    <ext xmlns:x14="http://schemas.microsoft.com/office/spreadsheetml/2009/9/main" uri="{CCE6A557-97BC-4b89-ADB6-D9C93CAAB3DF}">
      <x14:dataValidations xmlns:xm="http://schemas.microsoft.com/office/excel/2006/main" disablePrompts="1" count="4">
        <x14:dataValidation type="list" allowBlank="1" showInputMessage="1" showErrorMessage="1" xr:uid="{D04DC104-D9E5-4D21-873F-3F8DB842219A}">
          <x14:formula1>
            <xm:f>perdues_diposit!$A$11:$A$32</xm:f>
          </x14:formula1>
          <xm:sqref>C34:C36 C231:C233</xm:sqref>
        </x14:dataValidation>
        <x14:dataValidation type="list" allowBlank="1" showInputMessage="1" showErrorMessage="1" xr:uid="{40585F6F-8B53-4FC3-A5FE-6701F2FF9D6E}">
          <x14:formula1>
            <xm:f>perdues_diposit!$B$9:$H$9</xm:f>
          </x14:formula1>
          <xm:sqref>D34:D36 D231:D233 G231:G233</xm:sqref>
        </x14:dataValidation>
        <x14:dataValidation type="list" allowBlank="1" showInputMessage="1" showErrorMessage="1" xr:uid="{24D087A3-5076-40E9-A5E6-8EA5CC94FA3B}">
          <x14:formula1>
            <xm:f>desplegables!$A$3:$A$10</xm:f>
          </x14:formula1>
          <xm:sqref>D10:E10</xm:sqref>
        </x14:dataValidation>
        <x14:dataValidation type="list" allowBlank="1" showInputMessage="1" showErrorMessage="1" xr:uid="{7B874C4B-B74C-4C30-B3F0-5E5EBCFF7224}">
          <x14:formula1>
            <xm:f>desplegables!$H$1:$H$10</xm:f>
          </x14:formula1>
          <xm:sqref>D6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D2413-530A-435C-826E-EE5FC6888B17}">
  <sheetPr codeName="Full8"/>
  <dimension ref="A1:BE116"/>
  <sheetViews>
    <sheetView zoomScale="55" zoomScaleNormal="55" zoomScaleSheetLayoutView="85" workbookViewId="0">
      <pane ySplit="2" topLeftCell="A3" activePane="bottomLeft" state="frozen"/>
      <selection activeCell="B253" sqref="B253"/>
      <selection pane="bottomLeft" activeCell="L101" sqref="L101"/>
    </sheetView>
  </sheetViews>
  <sheetFormatPr defaultRowHeight="14.4"/>
  <cols>
    <col min="1" max="1" width="4.5546875" style="3" customWidth="1"/>
    <col min="2" max="2" width="9.88671875" style="3" customWidth="1"/>
    <col min="3" max="3" width="9.109375" style="3" bestFit="1" customWidth="1"/>
    <col min="4" max="5" width="8.88671875" style="3"/>
    <col min="6" max="6" width="10.88671875" style="3" customWidth="1"/>
    <col min="7" max="7" width="11.6640625" style="3" customWidth="1"/>
    <col min="8" max="10" width="8.88671875" style="3"/>
    <col min="11" max="11" width="9.109375" style="3" customWidth="1"/>
    <col min="12" max="12" width="9.33203125" style="3" bestFit="1" customWidth="1"/>
    <col min="13" max="13" width="10.88671875" style="3" customWidth="1"/>
    <col min="14" max="18" width="8.88671875" style="3"/>
    <col min="19" max="19" width="2.44140625" style="3" customWidth="1"/>
    <col min="20" max="20" width="4.21875" style="3" customWidth="1"/>
    <col min="21" max="21" width="9.88671875" style="3" customWidth="1"/>
    <col min="22" max="22" width="9.109375" style="3" bestFit="1" customWidth="1"/>
    <col min="23" max="24" width="8.88671875" style="3"/>
    <col min="25" max="25" width="10.88671875" style="3" customWidth="1"/>
    <col min="26" max="26" width="11.6640625" style="3" customWidth="1"/>
    <col min="27" max="29" width="8.88671875" style="3"/>
    <col min="30" max="30" width="9.109375" style="3" customWidth="1"/>
    <col min="31" max="31" width="9.33203125" style="3" bestFit="1" customWidth="1"/>
    <col min="32" max="32" width="10.88671875" style="3" customWidth="1"/>
    <col min="33" max="37" width="8.88671875" style="3"/>
    <col min="38" max="38" width="2.44140625" style="3" customWidth="1"/>
    <col min="39" max="39" width="4.109375" style="3" customWidth="1"/>
    <col min="40" max="40" width="9.88671875" style="3" customWidth="1"/>
    <col min="41" max="41" width="9.109375" style="3" bestFit="1" customWidth="1"/>
    <col min="42" max="43" width="8.88671875" style="3"/>
    <col min="44" max="44" width="10.88671875" style="3" customWidth="1"/>
    <col min="45" max="45" width="11.6640625" style="3" customWidth="1"/>
    <col min="46" max="48" width="8.88671875" style="3"/>
    <col min="49" max="49" width="9.109375" style="3" customWidth="1"/>
    <col min="50" max="50" width="9.33203125" style="3" bestFit="1" customWidth="1"/>
    <col min="51" max="51" width="10.88671875" style="3" customWidth="1"/>
    <col min="52" max="56" width="8.88671875" style="3"/>
    <col min="57" max="57" width="2.44140625" style="3" customWidth="1"/>
    <col min="58" max="16384" width="8.88671875" style="3"/>
  </cols>
  <sheetData>
    <row r="1" spans="1:57" s="46" customFormat="1" ht="18">
      <c r="A1" s="97" t="s">
        <v>142</v>
      </c>
      <c r="C1" s="47">
        <f>+DADES_ALTER!C1</f>
        <v>0</v>
      </c>
      <c r="D1" s="6"/>
      <c r="E1" s="6"/>
      <c r="I1" s="97" t="s">
        <v>143</v>
      </c>
      <c r="J1" s="48">
        <f>+DADES_ALTER!J1</f>
        <v>0</v>
      </c>
      <c r="T1" s="97"/>
      <c r="V1" s="47"/>
      <c r="W1" s="6"/>
      <c r="X1" s="6"/>
      <c r="AB1" s="97"/>
      <c r="AC1" s="48"/>
      <c r="AM1" s="97"/>
      <c r="AO1" s="47"/>
      <c r="AP1" s="6"/>
      <c r="AQ1" s="6"/>
      <c r="AU1" s="97"/>
      <c r="AV1" s="48"/>
    </row>
    <row r="2" spans="1:57" ht="18">
      <c r="A2" s="198"/>
      <c r="B2" s="198"/>
      <c r="C2" s="199" t="s">
        <v>400</v>
      </c>
      <c r="D2" s="198"/>
      <c r="E2" s="198"/>
      <c r="F2" s="198"/>
      <c r="G2" s="198"/>
      <c r="H2" s="198"/>
      <c r="I2" s="198"/>
      <c r="J2" s="198"/>
      <c r="K2" s="198"/>
      <c r="L2" s="198"/>
      <c r="M2" s="198"/>
      <c r="N2" s="198"/>
      <c r="O2" s="198"/>
      <c r="P2" s="198"/>
      <c r="Q2" s="198"/>
      <c r="R2" s="198"/>
      <c r="S2" s="198"/>
      <c r="T2" s="198"/>
      <c r="U2" s="198"/>
      <c r="V2" s="199" t="s">
        <v>411</v>
      </c>
      <c r="W2" s="198"/>
      <c r="X2" s="198"/>
      <c r="Y2" s="198"/>
      <c r="Z2" s="198"/>
      <c r="AA2" s="198"/>
      <c r="AB2" s="198"/>
      <c r="AC2" s="198"/>
      <c r="AD2" s="198"/>
      <c r="AE2" s="198"/>
      <c r="AF2" s="198"/>
      <c r="AG2" s="198"/>
      <c r="AH2" s="198"/>
      <c r="AI2" s="198"/>
      <c r="AJ2" s="198"/>
      <c r="AK2" s="198"/>
      <c r="AL2" s="198"/>
      <c r="AM2" s="198"/>
      <c r="AN2" s="198"/>
      <c r="AO2" s="199" t="s">
        <v>412</v>
      </c>
      <c r="AP2" s="198"/>
      <c r="AQ2" s="198"/>
      <c r="AR2" s="198"/>
      <c r="AS2" s="198"/>
      <c r="AT2" s="198"/>
      <c r="AU2" s="198"/>
      <c r="AV2" s="198"/>
      <c r="AW2" s="198"/>
      <c r="AX2" s="198"/>
      <c r="AY2" s="198"/>
      <c r="AZ2" s="198"/>
      <c r="BA2" s="198"/>
      <c r="BB2" s="198"/>
      <c r="BC2" s="198"/>
      <c r="BD2" s="198"/>
      <c r="BE2" s="198"/>
    </row>
    <row r="3" spans="1:57" ht="15.6">
      <c r="B3" s="55" t="s">
        <v>357</v>
      </c>
      <c r="C3" s="1"/>
      <c r="D3" s="1"/>
      <c r="E3" s="1"/>
      <c r="F3" s="1"/>
      <c r="I3" s="1" t="s">
        <v>405</v>
      </c>
      <c r="J3" s="1"/>
      <c r="K3" s="1"/>
      <c r="L3" s="1"/>
      <c r="M3" s="1"/>
      <c r="N3" s="1"/>
      <c r="S3" s="234"/>
      <c r="U3" s="55" t="s">
        <v>357</v>
      </c>
      <c r="V3" s="1"/>
      <c r="W3" s="1"/>
      <c r="X3" s="1"/>
      <c r="Y3" s="1"/>
      <c r="AB3" s="1" t="s">
        <v>428</v>
      </c>
      <c r="AC3" s="1"/>
      <c r="AD3" s="1"/>
      <c r="AE3" s="1"/>
      <c r="AF3" s="1"/>
      <c r="AG3" s="1"/>
      <c r="AL3" s="234"/>
      <c r="AN3" s="55" t="s">
        <v>357</v>
      </c>
      <c r="AO3" s="1"/>
      <c r="AP3" s="1"/>
      <c r="AQ3" s="1"/>
      <c r="AR3" s="1"/>
      <c r="AU3" s="1" t="s">
        <v>427</v>
      </c>
      <c r="AV3" s="1"/>
      <c r="AW3" s="1"/>
      <c r="AX3" s="1"/>
      <c r="AY3" s="1"/>
      <c r="AZ3" s="1"/>
      <c r="BE3" s="234"/>
    </row>
    <row r="4" spans="1:57">
      <c r="B4" s="3" t="s">
        <v>406</v>
      </c>
      <c r="D4" s="2">
        <f>+DADES_ALTER!D5</f>
        <v>0</v>
      </c>
      <c r="I4" s="25"/>
      <c r="J4" s="26"/>
      <c r="K4" s="134" t="s">
        <v>410</v>
      </c>
      <c r="L4" s="9"/>
      <c r="M4" s="10"/>
      <c r="S4" s="198"/>
      <c r="U4" s="3" t="s">
        <v>406</v>
      </c>
      <c r="W4" s="2">
        <f>+DADES_ALTER!O5</f>
        <v>0</v>
      </c>
      <c r="AB4" s="25"/>
      <c r="AC4" s="26"/>
      <c r="AD4" s="134" t="s">
        <v>410</v>
      </c>
      <c r="AE4" s="9"/>
      <c r="AF4" s="10"/>
      <c r="AL4" s="198"/>
      <c r="AN4" s="3" t="s">
        <v>406</v>
      </c>
      <c r="AP4" s="2">
        <f>+DADES_ALTER!Z5</f>
        <v>0</v>
      </c>
      <c r="AU4" s="25"/>
      <c r="AV4" s="26"/>
      <c r="AW4" s="134" t="s">
        <v>410</v>
      </c>
      <c r="AX4" s="9"/>
      <c r="AY4" s="10"/>
      <c r="BE4" s="198"/>
    </row>
    <row r="5" spans="1:57" ht="28.8">
      <c r="B5" s="3" t="s">
        <v>355</v>
      </c>
      <c r="D5" s="573">
        <f>+DADES_ALTER!D6</f>
        <v>0</v>
      </c>
      <c r="E5" s="573"/>
      <c r="I5" s="218"/>
      <c r="J5" s="4"/>
      <c r="K5" s="15" t="s">
        <v>407</v>
      </c>
      <c r="L5" s="17" t="s">
        <v>408</v>
      </c>
      <c r="M5" s="17" t="s">
        <v>409</v>
      </c>
      <c r="S5" s="198"/>
      <c r="U5" s="3" t="s">
        <v>355</v>
      </c>
      <c r="W5" s="573">
        <f>+DADES_ALTER!O6</f>
        <v>0</v>
      </c>
      <c r="X5" s="573"/>
      <c r="AB5" s="218"/>
      <c r="AC5" s="4"/>
      <c r="AD5" s="15" t="s">
        <v>407</v>
      </c>
      <c r="AE5" s="17" t="s">
        <v>408</v>
      </c>
      <c r="AF5" s="17" t="s">
        <v>409</v>
      </c>
      <c r="AL5" s="198"/>
      <c r="AN5" s="3" t="s">
        <v>355</v>
      </c>
      <c r="AP5" s="573">
        <f>+DADES_ALTER!Z6</f>
        <v>0</v>
      </c>
      <c r="AQ5" s="573"/>
      <c r="AU5" s="218"/>
      <c r="AV5" s="4"/>
      <c r="AW5" s="15" t="s">
        <v>407</v>
      </c>
      <c r="AX5" s="17" t="s">
        <v>408</v>
      </c>
      <c r="AY5" s="17" t="s">
        <v>409</v>
      </c>
      <c r="BE5" s="198"/>
    </row>
    <row r="6" spans="1:57">
      <c r="B6" s="9" t="s">
        <v>352</v>
      </c>
      <c r="C6" s="49"/>
      <c r="D6" s="168">
        <f>+DADES_ALTER!D7</f>
        <v>0</v>
      </c>
      <c r="E6" s="169" t="s">
        <v>20</v>
      </c>
      <c r="I6" s="232" t="s">
        <v>92</v>
      </c>
      <c r="J6" s="9"/>
      <c r="K6" s="195" t="e">
        <f>+D26</f>
        <v>#DIV/0!</v>
      </c>
      <c r="L6" s="195" t="e">
        <f>+D28</f>
        <v>#DIV/0!</v>
      </c>
      <c r="M6" s="195" t="e">
        <f>+K6+L6</f>
        <v>#DIV/0!</v>
      </c>
      <c r="S6" s="198"/>
      <c r="U6" s="9" t="s">
        <v>352</v>
      </c>
      <c r="V6" s="49"/>
      <c r="W6" s="168">
        <f>+DADES_ALTER!O7</f>
        <v>0</v>
      </c>
      <c r="X6" s="169" t="s">
        <v>20</v>
      </c>
      <c r="AB6" s="232" t="s">
        <v>92</v>
      </c>
      <c r="AC6" s="9"/>
      <c r="AD6" s="195" t="e">
        <f>+W26</f>
        <v>#DIV/0!</v>
      </c>
      <c r="AE6" s="195" t="e">
        <f>+W28</f>
        <v>#DIV/0!</v>
      </c>
      <c r="AF6" s="195" t="e">
        <f>+AD6+AE6</f>
        <v>#DIV/0!</v>
      </c>
      <c r="AL6" s="198"/>
      <c r="AN6" s="9" t="s">
        <v>352</v>
      </c>
      <c r="AO6" s="49"/>
      <c r="AP6" s="168">
        <f>+DADES_ALTER!Z7</f>
        <v>0</v>
      </c>
      <c r="AQ6" s="169" t="s">
        <v>20</v>
      </c>
      <c r="AU6" s="232" t="s">
        <v>92</v>
      </c>
      <c r="AV6" s="9"/>
      <c r="AW6" s="195" t="e">
        <f>+AP26</f>
        <v>#DIV/0!</v>
      </c>
      <c r="AX6" s="195" t="e">
        <f>+AP28</f>
        <v>#DIV/0!</v>
      </c>
      <c r="AY6" s="195" t="e">
        <f>+AW6+AX6</f>
        <v>#DIV/0!</v>
      </c>
      <c r="BE6" s="198"/>
    </row>
    <row r="7" spans="1:57">
      <c r="B7" s="9" t="s">
        <v>343</v>
      </c>
      <c r="C7" s="9"/>
      <c r="D7" s="170">
        <f>+DADES_ALTER!D8</f>
        <v>0</v>
      </c>
      <c r="E7" s="169"/>
      <c r="I7" s="232" t="s">
        <v>93</v>
      </c>
      <c r="K7" s="195" t="e">
        <f>+D45</f>
        <v>#DIV/0!</v>
      </c>
      <c r="L7" s="195" t="e">
        <f>+D46</f>
        <v>#DIV/0!</v>
      </c>
      <c r="M7" s="195" t="e">
        <f t="shared" ref="M7:M8" si="0">+K7+L7</f>
        <v>#DIV/0!</v>
      </c>
      <c r="S7" s="198"/>
      <c r="U7" s="9" t="s">
        <v>343</v>
      </c>
      <c r="V7" s="9"/>
      <c r="W7" s="170">
        <f>+DADES_ALTER!O8</f>
        <v>0</v>
      </c>
      <c r="X7" s="169"/>
      <c r="AB7" s="232" t="s">
        <v>93</v>
      </c>
      <c r="AD7" s="195" t="e">
        <f>+W45</f>
        <v>#DIV/0!</v>
      </c>
      <c r="AE7" s="195" t="e">
        <f>+W46</f>
        <v>#DIV/0!</v>
      </c>
      <c r="AF7" s="195" t="e">
        <f t="shared" ref="AF7:AF8" si="1">+AD7+AE7</f>
        <v>#DIV/0!</v>
      </c>
      <c r="AL7" s="198"/>
      <c r="AN7" s="9" t="s">
        <v>343</v>
      </c>
      <c r="AO7" s="9"/>
      <c r="AP7" s="170">
        <f>+DADES_ALTER!Z8</f>
        <v>0</v>
      </c>
      <c r="AQ7" s="169"/>
      <c r="AU7" s="232" t="s">
        <v>93</v>
      </c>
      <c r="AW7" s="195" t="e">
        <f>+AP45</f>
        <v>#DIV/0!</v>
      </c>
      <c r="AX7" s="195" t="e">
        <f>+AP46</f>
        <v>#DIV/0!</v>
      </c>
      <c r="AY7" s="195" t="e">
        <f t="shared" ref="AY7:AY8" si="2">+AW7+AX7</f>
        <v>#DIV/0!</v>
      </c>
      <c r="BE7" s="198"/>
    </row>
    <row r="8" spans="1:57">
      <c r="B8" s="9" t="s">
        <v>97</v>
      </c>
      <c r="C8" s="9"/>
      <c r="D8" s="578">
        <f>+DADES_ALTER!D10</f>
        <v>0</v>
      </c>
      <c r="E8" s="578"/>
      <c r="I8" s="232" t="s">
        <v>310</v>
      </c>
      <c r="J8" s="9"/>
      <c r="K8" s="195" t="e">
        <f>+L96</f>
        <v>#DIV/0!</v>
      </c>
      <c r="L8" s="195" t="e">
        <f>+L97</f>
        <v>#DIV/0!</v>
      </c>
      <c r="M8" s="195" t="e">
        <f t="shared" si="0"/>
        <v>#DIV/0!</v>
      </c>
      <c r="S8" s="198"/>
      <c r="U8" s="9" t="s">
        <v>97</v>
      </c>
      <c r="V8" s="9"/>
      <c r="W8" s="578">
        <f>+DADES_ALTER!O10</f>
        <v>0</v>
      </c>
      <c r="X8" s="578"/>
      <c r="AB8" s="232" t="s">
        <v>310</v>
      </c>
      <c r="AC8" s="9"/>
      <c r="AD8" s="195" t="e">
        <f>+AE96</f>
        <v>#DIV/0!</v>
      </c>
      <c r="AE8" s="195" t="e">
        <f>+AE97</f>
        <v>#DIV/0!</v>
      </c>
      <c r="AF8" s="195" t="e">
        <f t="shared" si="1"/>
        <v>#DIV/0!</v>
      </c>
      <c r="AL8" s="198"/>
      <c r="AN8" s="9" t="s">
        <v>97</v>
      </c>
      <c r="AO8" s="9"/>
      <c r="AP8" s="578">
        <f>+DADES_ALTER!Z10</f>
        <v>0</v>
      </c>
      <c r="AQ8" s="578"/>
      <c r="AU8" s="232" t="s">
        <v>310</v>
      </c>
      <c r="AV8" s="9"/>
      <c r="AW8" s="195" t="e">
        <f>+AX96</f>
        <v>#DIV/0!</v>
      </c>
      <c r="AX8" s="195" t="e">
        <f>+AX97</f>
        <v>#DIV/0!</v>
      </c>
      <c r="AY8" s="195" t="e">
        <f t="shared" si="2"/>
        <v>#DIV/0!</v>
      </c>
      <c r="BE8" s="198"/>
    </row>
    <row r="9" spans="1:57">
      <c r="B9" s="9" t="s">
        <v>3</v>
      </c>
      <c r="C9" s="49"/>
      <c r="D9" s="171">
        <f>+DADES_ALTER!D11</f>
        <v>0</v>
      </c>
      <c r="E9" s="169" t="s">
        <v>4</v>
      </c>
      <c r="I9" s="137" t="s">
        <v>94</v>
      </c>
      <c r="J9" s="138"/>
      <c r="K9" s="233" t="e">
        <f t="shared" ref="K9:M9" si="3">SUM(K6:K8)</f>
        <v>#DIV/0!</v>
      </c>
      <c r="L9" s="233" t="e">
        <f t="shared" si="3"/>
        <v>#DIV/0!</v>
      </c>
      <c r="M9" s="233" t="e">
        <f t="shared" si="3"/>
        <v>#DIV/0!</v>
      </c>
      <c r="S9" s="198"/>
      <c r="U9" s="9" t="s">
        <v>3</v>
      </c>
      <c r="V9" s="49"/>
      <c r="W9" s="171">
        <f>+DADES_ALTER!O11</f>
        <v>0</v>
      </c>
      <c r="X9" s="169" t="s">
        <v>4</v>
      </c>
      <c r="AB9" s="137" t="s">
        <v>94</v>
      </c>
      <c r="AC9" s="138"/>
      <c r="AD9" s="233" t="e">
        <f t="shared" ref="AD9" si="4">SUM(AD6:AD8)</f>
        <v>#DIV/0!</v>
      </c>
      <c r="AE9" s="233" t="e">
        <f t="shared" ref="AE9" si="5">SUM(AE6:AE8)</f>
        <v>#DIV/0!</v>
      </c>
      <c r="AF9" s="233" t="e">
        <f t="shared" ref="AF9" si="6">SUM(AF6:AF8)</f>
        <v>#DIV/0!</v>
      </c>
      <c r="AL9" s="198"/>
      <c r="AN9" s="9" t="s">
        <v>3</v>
      </c>
      <c r="AO9" s="49"/>
      <c r="AP9" s="171">
        <f>+DADES_ALTER!Z11</f>
        <v>0</v>
      </c>
      <c r="AQ9" s="169" t="s">
        <v>4</v>
      </c>
      <c r="AU9" s="137" t="s">
        <v>94</v>
      </c>
      <c r="AV9" s="138"/>
      <c r="AW9" s="233" t="e">
        <f t="shared" ref="AW9" si="7">SUM(AW6:AW8)</f>
        <v>#DIV/0!</v>
      </c>
      <c r="AX9" s="233" t="e">
        <f t="shared" ref="AX9" si="8">SUM(AX6:AX8)</f>
        <v>#DIV/0!</v>
      </c>
      <c r="AY9" s="233" t="e">
        <f t="shared" ref="AY9" si="9">SUM(AY6:AY8)</f>
        <v>#DIV/0!</v>
      </c>
      <c r="BE9" s="198"/>
    </row>
    <row r="10" spans="1:57">
      <c r="B10" s="9" t="s">
        <v>52</v>
      </c>
      <c r="C10" s="9"/>
      <c r="D10" s="9" t="e">
        <f>+VLOOKUP(D8,desplegables!$A$3:$E$10,5,0)</f>
        <v>#N/A</v>
      </c>
      <c r="E10" s="9" t="s">
        <v>57</v>
      </c>
      <c r="S10" s="198"/>
      <c r="U10" s="9" t="s">
        <v>52</v>
      </c>
      <c r="V10" s="9"/>
      <c r="W10" s="9" t="e">
        <f>+VLOOKUP(W8,desplegables!$A$3:$E$10,5,0)</f>
        <v>#N/A</v>
      </c>
      <c r="X10" s="9" t="s">
        <v>57</v>
      </c>
      <c r="AL10" s="198"/>
      <c r="AN10" s="9" t="s">
        <v>52</v>
      </c>
      <c r="AO10" s="9"/>
      <c r="AP10" s="9" t="e">
        <f>+VLOOKUP(AP8,desplegables!$A$3:$E$10,5,0)</f>
        <v>#N/A</v>
      </c>
      <c r="AQ10" s="9" t="s">
        <v>57</v>
      </c>
      <c r="BE10" s="198"/>
    </row>
    <row r="11" spans="1:57">
      <c r="B11" s="9" t="s">
        <v>353</v>
      </c>
      <c r="C11" s="9"/>
      <c r="D11" s="172">
        <f>+DADES_ALTER!D9</f>
        <v>0</v>
      </c>
      <c r="E11" s="9" t="s">
        <v>20</v>
      </c>
      <c r="I11" s="134" t="s">
        <v>299</v>
      </c>
      <c r="J11" s="53"/>
      <c r="K11" s="54" t="e">
        <f>+M9</f>
        <v>#DIV/0!</v>
      </c>
      <c r="L11" s="135" t="s">
        <v>32</v>
      </c>
      <c r="S11" s="198"/>
      <c r="U11" s="9" t="s">
        <v>353</v>
      </c>
      <c r="V11" s="9"/>
      <c r="W11" s="172">
        <f>+DADES_ALTER!O9</f>
        <v>0</v>
      </c>
      <c r="X11" s="9" t="s">
        <v>20</v>
      </c>
      <c r="AB11" s="134" t="s">
        <v>299</v>
      </c>
      <c r="AC11" s="53"/>
      <c r="AD11" s="54" t="e">
        <f>+AF9</f>
        <v>#DIV/0!</v>
      </c>
      <c r="AE11" s="135" t="s">
        <v>32</v>
      </c>
      <c r="AL11" s="198"/>
      <c r="AN11" s="9" t="s">
        <v>353</v>
      </c>
      <c r="AO11" s="9"/>
      <c r="AP11" s="172">
        <f>+DADES_ALTER!Z9</f>
        <v>0</v>
      </c>
      <c r="AQ11" s="9" t="s">
        <v>20</v>
      </c>
      <c r="AU11" s="134" t="s">
        <v>299</v>
      </c>
      <c r="AV11" s="53"/>
      <c r="AW11" s="54" t="e">
        <f>+AY9</f>
        <v>#DIV/0!</v>
      </c>
      <c r="AX11" s="135" t="s">
        <v>32</v>
      </c>
      <c r="BE11" s="198"/>
    </row>
    <row r="12" spans="1:57">
      <c r="B12" s="9" t="s">
        <v>110</v>
      </c>
      <c r="C12" s="9"/>
      <c r="D12" s="171">
        <f>+DADES_ACTUAL!D13</f>
        <v>0</v>
      </c>
      <c r="E12" s="50" t="s">
        <v>4</v>
      </c>
      <c r="I12" s="134" t="s">
        <v>154</v>
      </c>
      <c r="J12" s="53"/>
      <c r="K12" s="54" t="e">
        <f>+$D$9*K9+$D$12*L9</f>
        <v>#DIV/0!</v>
      </c>
      <c r="L12" s="135" t="s">
        <v>43</v>
      </c>
      <c r="S12" s="198"/>
      <c r="U12" s="9" t="s">
        <v>110</v>
      </c>
      <c r="V12" s="9"/>
      <c r="W12" s="171">
        <f>+$D$12</f>
        <v>0</v>
      </c>
      <c r="X12" s="50" t="s">
        <v>4</v>
      </c>
      <c r="AB12" s="134" t="s">
        <v>154</v>
      </c>
      <c r="AC12" s="53"/>
      <c r="AD12" s="54" t="e">
        <f>+$W$9*AD9+$W$12*AE9</f>
        <v>#DIV/0!</v>
      </c>
      <c r="AE12" s="135" t="s">
        <v>43</v>
      </c>
      <c r="AL12" s="198"/>
      <c r="AN12" s="9" t="s">
        <v>110</v>
      </c>
      <c r="AO12" s="9"/>
      <c r="AP12" s="171">
        <f>+$D$12</f>
        <v>0</v>
      </c>
      <c r="AQ12" s="50" t="s">
        <v>4</v>
      </c>
      <c r="AU12" s="134" t="s">
        <v>154</v>
      </c>
      <c r="AV12" s="53"/>
      <c r="AW12" s="54" t="e">
        <f>+AP9*AW9+AP12*AX9</f>
        <v>#DIV/0!</v>
      </c>
      <c r="AX12" s="135" t="s">
        <v>43</v>
      </c>
      <c r="BE12" s="198"/>
    </row>
    <row r="13" spans="1:57">
      <c r="B13" s="9" t="s">
        <v>354</v>
      </c>
      <c r="C13" s="9"/>
      <c r="D13" s="9">
        <f>+desplegables!$E$3</f>
        <v>0.26</v>
      </c>
      <c r="E13" s="9" t="s">
        <v>57</v>
      </c>
      <c r="F13" s="136"/>
      <c r="I13" s="134" t="s">
        <v>153</v>
      </c>
      <c r="J13" s="53"/>
      <c r="K13" s="54" t="e">
        <f>+$D$10*K9+$D$13*L9</f>
        <v>#N/A</v>
      </c>
      <c r="L13" s="135" t="s">
        <v>65</v>
      </c>
      <c r="S13" s="198"/>
      <c r="U13" s="9" t="s">
        <v>354</v>
      </c>
      <c r="V13" s="9"/>
      <c r="W13" s="9">
        <f>+$D$13</f>
        <v>0.26</v>
      </c>
      <c r="X13" s="9" t="s">
        <v>57</v>
      </c>
      <c r="Y13" s="136"/>
      <c r="AB13" s="134" t="s">
        <v>153</v>
      </c>
      <c r="AC13" s="53"/>
      <c r="AD13" s="54" t="e">
        <f>+W10*AD9+W13*AE9</f>
        <v>#N/A</v>
      </c>
      <c r="AE13" s="135" t="s">
        <v>65</v>
      </c>
      <c r="AL13" s="198"/>
      <c r="AN13" s="9" t="s">
        <v>354</v>
      </c>
      <c r="AO13" s="9"/>
      <c r="AP13" s="9">
        <f>+$D$13</f>
        <v>0.26</v>
      </c>
      <c r="AQ13" s="9" t="s">
        <v>57</v>
      </c>
      <c r="AR13" s="136"/>
      <c r="AU13" s="134" t="s">
        <v>153</v>
      </c>
      <c r="AV13" s="53"/>
      <c r="AW13" s="54" t="e">
        <f>+AP10*AW9+AP13*AX9</f>
        <v>#N/A</v>
      </c>
      <c r="AX13" s="135" t="s">
        <v>65</v>
      </c>
      <c r="BE13" s="198"/>
    </row>
    <row r="14" spans="1:57">
      <c r="B14" s="1" t="s">
        <v>76</v>
      </c>
      <c r="C14" s="1"/>
      <c r="D14" s="1"/>
      <c r="E14" s="1"/>
      <c r="F14" s="1"/>
      <c r="I14" s="8" t="s">
        <v>965</v>
      </c>
      <c r="J14" s="9"/>
      <c r="K14" s="51">
        <f>+D19*D24/1000</f>
        <v>0</v>
      </c>
      <c r="L14" s="10" t="s">
        <v>967</v>
      </c>
      <c r="S14" s="198"/>
      <c r="U14" s="1" t="s">
        <v>76</v>
      </c>
      <c r="V14" s="1"/>
      <c r="W14" s="1"/>
      <c r="X14" s="1"/>
      <c r="Y14" s="1"/>
      <c r="AB14" s="8" t="s">
        <v>965</v>
      </c>
      <c r="AC14" s="9"/>
      <c r="AD14" s="51">
        <f>+W19*W24/1000</f>
        <v>0</v>
      </c>
      <c r="AE14" s="10" t="s">
        <v>967</v>
      </c>
      <c r="AL14" s="198"/>
      <c r="AN14" s="1" t="s">
        <v>76</v>
      </c>
      <c r="AO14" s="1"/>
      <c r="AP14" s="1"/>
      <c r="AQ14" s="1"/>
      <c r="AR14" s="1"/>
      <c r="AU14" s="8" t="s">
        <v>965</v>
      </c>
      <c r="AV14" s="9"/>
      <c r="AW14" s="51">
        <f>+AP19*AP24/1000</f>
        <v>0</v>
      </c>
      <c r="AX14" s="10" t="s">
        <v>967</v>
      </c>
      <c r="BE14" s="198"/>
    </row>
    <row r="15" spans="1:57">
      <c r="B15" s="3" t="s">
        <v>78</v>
      </c>
      <c r="D15" s="46">
        <f>+CALCULS_ACTUAL!D16</f>
        <v>0</v>
      </c>
      <c r="E15" s="3" t="s">
        <v>69</v>
      </c>
      <c r="I15" s="8" t="s">
        <v>964</v>
      </c>
      <c r="J15" s="9"/>
      <c r="K15" s="56" t="e">
        <f>+K12/K14</f>
        <v>#DIV/0!</v>
      </c>
      <c r="L15" s="10" t="s">
        <v>957</v>
      </c>
      <c r="S15" s="198"/>
      <c r="U15" s="3" t="s">
        <v>78</v>
      </c>
      <c r="W15" s="46">
        <f>+D15</f>
        <v>0</v>
      </c>
      <c r="X15" s="3" t="s">
        <v>69</v>
      </c>
      <c r="AB15" s="8" t="s">
        <v>964</v>
      </c>
      <c r="AC15" s="9"/>
      <c r="AD15" s="56" t="e">
        <f>+AD12/AD14</f>
        <v>#DIV/0!</v>
      </c>
      <c r="AE15" s="10" t="s">
        <v>957</v>
      </c>
      <c r="AL15" s="198"/>
      <c r="AN15" s="3" t="s">
        <v>78</v>
      </c>
      <c r="AP15" s="46">
        <f>+W15</f>
        <v>0</v>
      </c>
      <c r="AQ15" s="3" t="s">
        <v>69</v>
      </c>
      <c r="AU15" s="8" t="s">
        <v>964</v>
      </c>
      <c r="AV15" s="9"/>
      <c r="AW15" s="56" t="e">
        <f>+AW12/AW14</f>
        <v>#DIV/0!</v>
      </c>
      <c r="AX15" s="10" t="s">
        <v>957</v>
      </c>
      <c r="BE15" s="198"/>
    </row>
    <row r="16" spans="1:57">
      <c r="B16" s="3" t="s">
        <v>79</v>
      </c>
      <c r="D16" s="46">
        <f>+CALCULS_ACTUAL!D17</f>
        <v>0</v>
      </c>
      <c r="I16" s="8" t="s">
        <v>361</v>
      </c>
      <c r="J16" s="9"/>
      <c r="K16" s="178" t="e">
        <f>+K12/365</f>
        <v>#DIV/0!</v>
      </c>
      <c r="L16" s="10" t="s">
        <v>360</v>
      </c>
      <c r="S16" s="198"/>
      <c r="U16" s="3" t="s">
        <v>79</v>
      </c>
      <c r="W16" s="46">
        <f t="shared" ref="W16:W17" si="10">+D16</f>
        <v>0</v>
      </c>
      <c r="AB16" s="8" t="s">
        <v>361</v>
      </c>
      <c r="AC16" s="9"/>
      <c r="AD16" s="178" t="e">
        <f>+AD12/365</f>
        <v>#DIV/0!</v>
      </c>
      <c r="AE16" s="10" t="s">
        <v>360</v>
      </c>
      <c r="AL16" s="198"/>
      <c r="AN16" s="3" t="s">
        <v>79</v>
      </c>
      <c r="AP16" s="46">
        <f t="shared" ref="AP16:AP17" si="11">+W16</f>
        <v>0</v>
      </c>
      <c r="AU16" s="8" t="s">
        <v>361</v>
      </c>
      <c r="AV16" s="9"/>
      <c r="AW16" s="178" t="e">
        <f>+AW12/365</f>
        <v>#DIV/0!</v>
      </c>
      <c r="AX16" s="10" t="s">
        <v>360</v>
      </c>
      <c r="BE16" s="198"/>
    </row>
    <row r="17" spans="2:57">
      <c r="B17" s="3" t="s">
        <v>80</v>
      </c>
      <c r="D17" s="46">
        <f>+CALCULS_ACTUAL!D18</f>
        <v>0</v>
      </c>
      <c r="E17" s="3" t="s">
        <v>71</v>
      </c>
      <c r="I17" s="8" t="s">
        <v>968</v>
      </c>
      <c r="J17" s="9"/>
      <c r="K17" s="52" t="e">
        <f>+(M7+M8)/M9</f>
        <v>#DIV/0!</v>
      </c>
      <c r="L17" s="10"/>
      <c r="S17" s="198"/>
      <c r="U17" s="3" t="s">
        <v>80</v>
      </c>
      <c r="W17" s="46">
        <f t="shared" si="10"/>
        <v>0</v>
      </c>
      <c r="X17" s="3" t="s">
        <v>71</v>
      </c>
      <c r="AB17" s="8" t="s">
        <v>968</v>
      </c>
      <c r="AC17" s="9"/>
      <c r="AD17" s="52" t="e">
        <f>+(AF7+AF8)/AF9</f>
        <v>#DIV/0!</v>
      </c>
      <c r="AE17" s="10"/>
      <c r="AL17" s="198"/>
      <c r="AN17" s="3" t="s">
        <v>80</v>
      </c>
      <c r="AP17" s="46">
        <f t="shared" si="11"/>
        <v>0</v>
      </c>
      <c r="AQ17" s="3" t="s">
        <v>71</v>
      </c>
      <c r="AU17" s="8" t="s">
        <v>968</v>
      </c>
      <c r="AV17" s="9"/>
      <c r="AW17" s="52" t="e">
        <f>+(AY7+AY8)/AY9</f>
        <v>#DIV/0!</v>
      </c>
      <c r="AX17" s="10"/>
      <c r="BE17" s="198"/>
    </row>
    <row r="18" spans="2:57">
      <c r="B18" s="2" t="s">
        <v>81</v>
      </c>
      <c r="D18" s="163">
        <f>+DADES_ALTER!D15</f>
        <v>0</v>
      </c>
      <c r="I18" s="8" t="s">
        <v>969</v>
      </c>
      <c r="J18" s="9"/>
      <c r="K18" s="56" t="e">
        <f>+M9/M6</f>
        <v>#DIV/0!</v>
      </c>
      <c r="L18" s="10"/>
      <c r="S18" s="198"/>
      <c r="U18" s="2" t="s">
        <v>81</v>
      </c>
      <c r="W18" s="163">
        <f>+DADES_ALTER!O15</f>
        <v>0</v>
      </c>
      <c r="AB18" s="8" t="s">
        <v>969</v>
      </c>
      <c r="AC18" s="9"/>
      <c r="AD18" s="56" t="e">
        <f>+AF9/AF6</f>
        <v>#DIV/0!</v>
      </c>
      <c r="AE18" s="10"/>
      <c r="AL18" s="198"/>
      <c r="AN18" s="2" t="s">
        <v>81</v>
      </c>
      <c r="AP18" s="163">
        <f>+DADES_ALTER!Z15</f>
        <v>0</v>
      </c>
      <c r="AU18" s="8" t="s">
        <v>969</v>
      </c>
      <c r="AV18" s="9"/>
      <c r="AW18" s="56" t="e">
        <f>+AY9/AY6</f>
        <v>#DIV/0!</v>
      </c>
      <c r="AX18" s="10"/>
      <c r="BE18" s="198"/>
    </row>
    <row r="19" spans="2:57">
      <c r="B19" s="3" t="s">
        <v>140</v>
      </c>
      <c r="D19" s="43">
        <f>+D15*D17*D18</f>
        <v>0</v>
      </c>
      <c r="E19" s="3" t="s">
        <v>141</v>
      </c>
      <c r="I19" s="8" t="s">
        <v>418</v>
      </c>
      <c r="J19" s="9"/>
      <c r="K19" s="51">
        <f>++D105</f>
        <v>0</v>
      </c>
      <c r="L19" s="10" t="s">
        <v>43</v>
      </c>
      <c r="S19" s="198"/>
      <c r="U19" s="3" t="s">
        <v>140</v>
      </c>
      <c r="W19" s="43">
        <f>+W15*W17*W18</f>
        <v>0</v>
      </c>
      <c r="X19" s="3" t="s">
        <v>141</v>
      </c>
      <c r="AB19" s="8" t="s">
        <v>418</v>
      </c>
      <c r="AC19" s="9"/>
      <c r="AD19" s="51">
        <f>++W105</f>
        <v>0</v>
      </c>
      <c r="AE19" s="10" t="s">
        <v>43</v>
      </c>
      <c r="AL19" s="198"/>
      <c r="AN19" s="3" t="s">
        <v>140</v>
      </c>
      <c r="AP19" s="43">
        <f>+AP15*AP17*AP18</f>
        <v>0</v>
      </c>
      <c r="AQ19" s="3" t="s">
        <v>141</v>
      </c>
      <c r="AU19" s="8" t="s">
        <v>418</v>
      </c>
      <c r="AV19" s="9"/>
      <c r="AW19" s="51">
        <f>++AP105</f>
        <v>0</v>
      </c>
      <c r="AX19" s="10" t="s">
        <v>43</v>
      </c>
      <c r="BE19" s="198"/>
    </row>
    <row r="20" spans="2:57">
      <c r="B20" s="3" t="s">
        <v>82</v>
      </c>
      <c r="D20" s="46">
        <f>+CALCULS_ACTUAL!D21</f>
        <v>0</v>
      </c>
      <c r="E20" s="3" t="s">
        <v>1</v>
      </c>
      <c r="I20" s="8" t="s">
        <v>419</v>
      </c>
      <c r="J20" s="9"/>
      <c r="K20" s="51">
        <f>++D106</f>
        <v>0</v>
      </c>
      <c r="L20" s="10" t="s">
        <v>37</v>
      </c>
      <c r="S20" s="198"/>
      <c r="U20" s="3" t="s">
        <v>82</v>
      </c>
      <c r="W20" s="46">
        <f>+D20</f>
        <v>0</v>
      </c>
      <c r="X20" s="3" t="s">
        <v>1</v>
      </c>
      <c r="AB20" s="8" t="s">
        <v>419</v>
      </c>
      <c r="AC20" s="9"/>
      <c r="AD20" s="51">
        <f>++W106</f>
        <v>0</v>
      </c>
      <c r="AE20" s="10" t="s">
        <v>37</v>
      </c>
      <c r="AL20" s="198"/>
      <c r="AN20" s="3" t="s">
        <v>82</v>
      </c>
      <c r="AP20" s="46">
        <f>+W20</f>
        <v>0</v>
      </c>
      <c r="AQ20" s="3" t="s">
        <v>1</v>
      </c>
      <c r="AU20" s="8" t="s">
        <v>419</v>
      </c>
      <c r="AV20" s="9"/>
      <c r="AW20" s="51">
        <f>++AP106</f>
        <v>0</v>
      </c>
      <c r="AX20" s="10" t="s">
        <v>37</v>
      </c>
      <c r="BE20" s="198"/>
    </row>
    <row r="21" spans="2:57">
      <c r="B21" s="3" t="s">
        <v>83</v>
      </c>
      <c r="D21" s="46">
        <f>+CALCULS_ACTUAL!D22</f>
        <v>0</v>
      </c>
      <c r="E21" s="3" t="s">
        <v>1</v>
      </c>
      <c r="I21" s="8" t="s">
        <v>422</v>
      </c>
      <c r="J21" s="9"/>
      <c r="K21" s="238" t="e">
        <f>+D111</f>
        <v>#DIV/0!</v>
      </c>
      <c r="L21" s="10" t="s">
        <v>4</v>
      </c>
      <c r="S21" s="198"/>
      <c r="U21" s="3" t="s">
        <v>83</v>
      </c>
      <c r="W21" s="46">
        <f>+D21</f>
        <v>0</v>
      </c>
      <c r="X21" s="3" t="s">
        <v>1</v>
      </c>
      <c r="AB21" s="8" t="s">
        <v>422</v>
      </c>
      <c r="AC21" s="9"/>
      <c r="AD21" s="238" t="e">
        <f>+W111</f>
        <v>#DIV/0!</v>
      </c>
      <c r="AE21" s="10" t="s">
        <v>4</v>
      </c>
      <c r="AL21" s="198"/>
      <c r="AN21" s="3" t="s">
        <v>83</v>
      </c>
      <c r="AP21" s="46">
        <f>+W21</f>
        <v>0</v>
      </c>
      <c r="AQ21" s="3" t="s">
        <v>1</v>
      </c>
      <c r="AU21" s="8" t="s">
        <v>422</v>
      </c>
      <c r="AV21" s="9"/>
      <c r="AW21" s="238" t="e">
        <f>+AP111</f>
        <v>#DIV/0!</v>
      </c>
      <c r="AX21" s="10" t="s">
        <v>4</v>
      </c>
      <c r="BE21" s="198"/>
    </row>
    <row r="22" spans="2:57">
      <c r="B22" s="3" t="s">
        <v>84</v>
      </c>
      <c r="D22" s="43">
        <f>D19*(D20-D21)</f>
        <v>0</v>
      </c>
      <c r="E22" s="3" t="s">
        <v>72</v>
      </c>
      <c r="I22" s="8" t="s">
        <v>433</v>
      </c>
      <c r="J22" s="9"/>
      <c r="K22" s="51">
        <f>+D114</f>
        <v>0</v>
      </c>
      <c r="L22" s="10" t="s">
        <v>421</v>
      </c>
      <c r="S22" s="198"/>
      <c r="U22" s="3" t="s">
        <v>84</v>
      </c>
      <c r="W22" s="43">
        <f>W19*(W20-W21)</f>
        <v>0</v>
      </c>
      <c r="X22" s="3" t="s">
        <v>72</v>
      </c>
      <c r="AB22" s="8" t="s">
        <v>433</v>
      </c>
      <c r="AC22" s="9"/>
      <c r="AD22" s="51">
        <f>+W114</f>
        <v>0</v>
      </c>
      <c r="AE22" s="10" t="s">
        <v>421</v>
      </c>
      <c r="AL22" s="198"/>
      <c r="AN22" s="3" t="s">
        <v>84</v>
      </c>
      <c r="AP22" s="43">
        <f>AP19*(AP20-AP21)</f>
        <v>0</v>
      </c>
      <c r="AQ22" s="3" t="s">
        <v>72</v>
      </c>
      <c r="AU22" s="8" t="s">
        <v>433</v>
      </c>
      <c r="AV22" s="9"/>
      <c r="AW22" s="51">
        <f>+AP114</f>
        <v>0</v>
      </c>
      <c r="AX22" s="10" t="s">
        <v>421</v>
      </c>
      <c r="BE22" s="198"/>
    </row>
    <row r="23" spans="2:57">
      <c r="D23" s="107">
        <f>+D22/860</f>
        <v>0</v>
      </c>
      <c r="E23" s="3" t="s">
        <v>74</v>
      </c>
      <c r="I23" s="8" t="s">
        <v>435</v>
      </c>
      <c r="J23" s="9"/>
      <c r="K23" s="51">
        <f>+D115</f>
        <v>0</v>
      </c>
      <c r="L23" s="10" t="s">
        <v>421</v>
      </c>
      <c r="S23" s="198"/>
      <c r="W23" s="107">
        <f>+W22/860</f>
        <v>0</v>
      </c>
      <c r="X23" s="3" t="s">
        <v>74</v>
      </c>
      <c r="AB23" s="8" t="s">
        <v>435</v>
      </c>
      <c r="AC23" s="9"/>
      <c r="AD23" s="51">
        <f>+W115</f>
        <v>0</v>
      </c>
      <c r="AE23" s="10" t="s">
        <v>421</v>
      </c>
      <c r="AL23" s="198"/>
      <c r="AP23" s="107">
        <f>+AP22/860</f>
        <v>0</v>
      </c>
      <c r="AQ23" s="3" t="s">
        <v>74</v>
      </c>
      <c r="AU23" s="8" t="s">
        <v>435</v>
      </c>
      <c r="AV23" s="9"/>
      <c r="AW23" s="51">
        <f>+AP115</f>
        <v>0</v>
      </c>
      <c r="AX23" s="10" t="s">
        <v>421</v>
      </c>
      <c r="BE23" s="198"/>
    </row>
    <row r="24" spans="2:57">
      <c r="B24" s="2" t="s">
        <v>87</v>
      </c>
      <c r="D24" s="154">
        <f>+DADES_ALTER!D16</f>
        <v>0</v>
      </c>
      <c r="E24" s="3" t="s">
        <v>88</v>
      </c>
      <c r="S24" s="198"/>
      <c r="U24" s="2" t="s">
        <v>87</v>
      </c>
      <c r="W24" s="154">
        <f>+DADES_ALTER!O16</f>
        <v>0</v>
      </c>
      <c r="X24" s="3" t="s">
        <v>88</v>
      </c>
      <c r="AL24" s="198"/>
      <c r="AN24" s="2" t="s">
        <v>87</v>
      </c>
      <c r="AP24" s="154">
        <f>+DADES_ALTER!Z16</f>
        <v>0</v>
      </c>
      <c r="AQ24" s="3" t="s">
        <v>88</v>
      </c>
      <c r="BE24" s="198"/>
    </row>
    <row r="25" spans="2:57">
      <c r="B25" s="3" t="s">
        <v>89</v>
      </c>
      <c r="D25" s="39">
        <f>+D23*D24</f>
        <v>0</v>
      </c>
      <c r="E25" s="3" t="s">
        <v>32</v>
      </c>
      <c r="S25" s="198"/>
      <c r="U25" s="3" t="s">
        <v>89</v>
      </c>
      <c r="W25" s="39">
        <f>+W23*W24</f>
        <v>0</v>
      </c>
      <c r="X25" s="3" t="s">
        <v>32</v>
      </c>
      <c r="AL25" s="198"/>
      <c r="AN25" s="3" t="s">
        <v>89</v>
      </c>
      <c r="AP25" s="39">
        <f>+AP23*AP24</f>
        <v>0</v>
      </c>
      <c r="AQ25" s="3" t="s">
        <v>32</v>
      </c>
      <c r="BE25" s="198"/>
    </row>
    <row r="26" spans="2:57">
      <c r="B26" s="3" t="s">
        <v>102</v>
      </c>
      <c r="D26" s="39" t="e">
        <f>+D25/$D$7</f>
        <v>#DIV/0!</v>
      </c>
      <c r="E26" s="3" t="s">
        <v>32</v>
      </c>
      <c r="S26" s="198"/>
      <c r="U26" s="3" t="s">
        <v>102</v>
      </c>
      <c r="W26" s="39" t="e">
        <f>+W25/W7</f>
        <v>#DIV/0!</v>
      </c>
      <c r="X26" s="3" t="s">
        <v>32</v>
      </c>
      <c r="AL26" s="198"/>
      <c r="AN26" s="3" t="s">
        <v>102</v>
      </c>
      <c r="AP26" s="39" t="e">
        <f>+AP25/AP7</f>
        <v>#DIV/0!</v>
      </c>
      <c r="AQ26" s="3" t="s">
        <v>32</v>
      </c>
      <c r="BE26" s="198"/>
    </row>
    <row r="27" spans="2:57">
      <c r="D27" s="38" t="e">
        <f>+D26/D15/D24</f>
        <v>#DIV/0!</v>
      </c>
      <c r="E27" s="3" t="s">
        <v>111</v>
      </c>
      <c r="S27" s="198"/>
      <c r="W27" s="38" t="e">
        <f>+W26/W15/W24</f>
        <v>#DIV/0!</v>
      </c>
      <c r="X27" s="3" t="s">
        <v>111</v>
      </c>
      <c r="AL27" s="198"/>
      <c r="AP27" s="38" t="e">
        <f>+AP26/AP15/AP24</f>
        <v>#DIV/0!</v>
      </c>
      <c r="AQ27" s="3" t="s">
        <v>111</v>
      </c>
      <c r="BE27" s="198"/>
    </row>
    <row r="28" spans="2:57">
      <c r="B28" s="3" t="s">
        <v>359</v>
      </c>
      <c r="D28" s="39" t="e">
        <f>+D26/$D$6*$D$11</f>
        <v>#DIV/0!</v>
      </c>
      <c r="E28" s="3" t="s">
        <v>32</v>
      </c>
      <c r="S28" s="198"/>
      <c r="U28" s="3" t="s">
        <v>359</v>
      </c>
      <c r="W28" s="39" t="e">
        <f>+W26/$W$6*$W$11</f>
        <v>#DIV/0!</v>
      </c>
      <c r="X28" s="3" t="s">
        <v>32</v>
      </c>
      <c r="AL28" s="198"/>
      <c r="AN28" s="3" t="s">
        <v>359</v>
      </c>
      <c r="AP28" s="39" t="e">
        <f>+AP26/AP6*AP11</f>
        <v>#DIV/0!</v>
      </c>
      <c r="AQ28" s="3" t="s">
        <v>32</v>
      </c>
      <c r="BE28" s="198"/>
    </row>
    <row r="29" spans="2:57">
      <c r="C29" s="39"/>
      <c r="S29" s="198"/>
      <c r="V29" s="39"/>
      <c r="AL29" s="198"/>
      <c r="AO29" s="39"/>
      <c r="BE29" s="198"/>
    </row>
    <row r="30" spans="2:57">
      <c r="B30" s="1" t="s">
        <v>77</v>
      </c>
      <c r="C30" s="1"/>
      <c r="D30" s="1"/>
      <c r="E30" s="42"/>
      <c r="F30" s="42"/>
      <c r="G30" s="42"/>
      <c r="H30" s="42"/>
      <c r="I30" s="42"/>
      <c r="J30" s="42"/>
      <c r="K30" s="42"/>
      <c r="L30" s="42"/>
      <c r="M30" s="42"/>
      <c r="N30" s="42"/>
      <c r="S30" s="198"/>
      <c r="U30" s="1" t="s">
        <v>77</v>
      </c>
      <c r="V30" s="1"/>
      <c r="W30" s="1"/>
      <c r="X30" s="42"/>
      <c r="Y30" s="42"/>
      <c r="Z30" s="42"/>
      <c r="AA30" s="42"/>
      <c r="AB30" s="42"/>
      <c r="AC30" s="42"/>
      <c r="AD30" s="42"/>
      <c r="AE30" s="42"/>
      <c r="AF30" s="42"/>
      <c r="AG30" s="42"/>
      <c r="AL30" s="198"/>
      <c r="AN30" s="1" t="s">
        <v>77</v>
      </c>
      <c r="AO30" s="1"/>
      <c r="AP30" s="1"/>
      <c r="AQ30" s="42"/>
      <c r="AR30" s="42"/>
      <c r="AS30" s="42"/>
      <c r="AT30" s="42"/>
      <c r="AU30" s="42"/>
      <c r="AV30" s="42"/>
      <c r="AW30" s="42"/>
      <c r="AX30" s="42"/>
      <c r="AY30" s="42"/>
      <c r="AZ30" s="42"/>
      <c r="BE30" s="198"/>
    </row>
    <row r="31" spans="2:57">
      <c r="C31" s="142" t="s">
        <v>302</v>
      </c>
      <c r="D31" s="142" t="s">
        <v>304</v>
      </c>
      <c r="E31" s="143" t="s">
        <v>70</v>
      </c>
      <c r="F31" s="143" t="s">
        <v>303</v>
      </c>
      <c r="S31" s="198"/>
      <c r="V31" s="142" t="s">
        <v>302</v>
      </c>
      <c r="W31" s="142" t="s">
        <v>304</v>
      </c>
      <c r="X31" s="143" t="s">
        <v>70</v>
      </c>
      <c r="Y31" s="143" t="s">
        <v>303</v>
      </c>
      <c r="AL31" s="198"/>
      <c r="AO31" s="142" t="s">
        <v>302</v>
      </c>
      <c r="AP31" s="142" t="s">
        <v>304</v>
      </c>
      <c r="AQ31" s="143" t="s">
        <v>70</v>
      </c>
      <c r="AR31" s="143" t="s">
        <v>303</v>
      </c>
      <c r="BE31" s="198"/>
    </row>
    <row r="32" spans="2:57">
      <c r="C32" s="33" t="s">
        <v>300</v>
      </c>
      <c r="D32" s="33" t="s">
        <v>305</v>
      </c>
      <c r="E32" s="144" t="s">
        <v>75</v>
      </c>
      <c r="F32" s="144" t="s">
        <v>138</v>
      </c>
      <c r="S32" s="198"/>
      <c r="V32" s="33" t="s">
        <v>300</v>
      </c>
      <c r="W32" s="33" t="s">
        <v>305</v>
      </c>
      <c r="X32" s="144" t="s">
        <v>75</v>
      </c>
      <c r="Y32" s="144" t="s">
        <v>138</v>
      </c>
      <c r="AL32" s="198"/>
      <c r="AO32" s="33" t="s">
        <v>300</v>
      </c>
      <c r="AP32" s="33" t="s">
        <v>305</v>
      </c>
      <c r="AQ32" s="144" t="s">
        <v>75</v>
      </c>
      <c r="AR32" s="144" t="s">
        <v>138</v>
      </c>
      <c r="BE32" s="198"/>
    </row>
    <row r="33" spans="1:57">
      <c r="B33" s="11" t="s">
        <v>306</v>
      </c>
      <c r="C33" s="173">
        <f>+DADES_ALTER!C22</f>
        <v>0</v>
      </c>
      <c r="D33" s="156">
        <f>+DADES_ALTER!D22</f>
        <v>0</v>
      </c>
      <c r="E33" s="30" cm="1">
        <f t="array" ref="E33">IFERROR(VLOOKUP(C33,perdues_diposit,_xlfn.IFS(D33="A+",2,D33="A",3,D33="B",4,D33="C",5,D33="D",6,D33="E",7,D33="F",8,D33="G",9),0)/45,)</f>
        <v>0</v>
      </c>
      <c r="F33" s="156">
        <f>+DADES_ALTER!E22</f>
        <v>0</v>
      </c>
      <c r="H33" s="23"/>
      <c r="S33" s="198"/>
      <c r="U33" s="11" t="s">
        <v>306</v>
      </c>
      <c r="V33" s="173">
        <f>+DADES_ALTER!N22</f>
        <v>0</v>
      </c>
      <c r="W33" s="156">
        <f>+DADES_ALTER!O22</f>
        <v>0</v>
      </c>
      <c r="X33" s="30" cm="1">
        <f t="array" ref="X33">IFERROR(VLOOKUP(V33,perdues_diposit,_xlfn.IFS(W33="A+",2,W33="A",3,W33="B",4,W33="C",5,W33="D",6,W33="E",7,W33="F",8,W33="G",9),0)/45,)</f>
        <v>0</v>
      </c>
      <c r="Y33" s="156">
        <f>+DADES_ALTER!P22</f>
        <v>0</v>
      </c>
      <c r="AA33" s="23"/>
      <c r="AL33" s="198"/>
      <c r="AN33" s="11" t="s">
        <v>306</v>
      </c>
      <c r="AO33" s="173">
        <f>+DADES_ALTER!Y22</f>
        <v>0</v>
      </c>
      <c r="AP33" s="156">
        <f>+DADES_ALTER!Z22</f>
        <v>0</v>
      </c>
      <c r="AQ33" s="30" cm="1">
        <f t="array" ref="AQ33">IFERROR(VLOOKUP(AO33,perdues_diposit,_xlfn.IFS(AP33="A+",2,AP33="A",3,AP33="B",4,AP33="C",5,AP33="D",6,AP33="E",7,AP33="F",8,AP33="G",9),0)/45,)</f>
        <v>0</v>
      </c>
      <c r="AR33" s="156">
        <f>+DADES_ALTER!AA22</f>
        <v>0</v>
      </c>
      <c r="AT33" s="23"/>
      <c r="BE33" s="198"/>
    </row>
    <row r="34" spans="1:57">
      <c r="B34" s="11" t="s">
        <v>307</v>
      </c>
      <c r="C34" s="173">
        <f>+DADES_ALTER!C23</f>
        <v>0</v>
      </c>
      <c r="D34" s="156">
        <f>+DADES_ALTER!D23</f>
        <v>0</v>
      </c>
      <c r="E34" s="30" cm="1">
        <f t="array" ref="E34">IFERROR(VLOOKUP(C34,perdues_diposit,_xlfn.IFS(D34="A+",2,D34="A",3,D34="B",4,D34="C",5,D34="D",6,D34="E",7,D34="F",8,D34="G",9),0)/45,)</f>
        <v>0</v>
      </c>
      <c r="F34" s="156">
        <f>+DADES_ALTER!E23</f>
        <v>0</v>
      </c>
      <c r="G34" s="23"/>
      <c r="H34" s="23"/>
      <c r="S34" s="198"/>
      <c r="U34" s="11" t="s">
        <v>307</v>
      </c>
      <c r="V34" s="173">
        <f>+DADES_ALTER!N23</f>
        <v>0</v>
      </c>
      <c r="W34" s="156">
        <f>+DADES_ALTER!O23</f>
        <v>0</v>
      </c>
      <c r="X34" s="30" cm="1">
        <f t="array" ref="X34">IFERROR(VLOOKUP(V34,perdues_diposit,_xlfn.IFS(W34="A+",2,W34="A",3,W34="B",4,W34="C",5,W34="D",6,W34="E",7,W34="F",8,W34="G",9),0)/45,)</f>
        <v>0</v>
      </c>
      <c r="Y34" s="156">
        <f>+DADES_ALTER!P23</f>
        <v>0</v>
      </c>
      <c r="Z34" s="23"/>
      <c r="AA34" s="23"/>
      <c r="AL34" s="198"/>
      <c r="AN34" s="11" t="s">
        <v>307</v>
      </c>
      <c r="AO34" s="173">
        <f>+DADES_ALTER!Y23</f>
        <v>0</v>
      </c>
      <c r="AP34" s="156">
        <f>+DADES_ALTER!Z23</f>
        <v>0</v>
      </c>
      <c r="AQ34" s="30" cm="1">
        <f t="array" ref="AQ34">IFERROR(VLOOKUP(AO34,perdues_diposit,_xlfn.IFS(AP34="A+",2,AP34="A",3,AP34="B",4,AP34="C",5,AP34="D",6,AP34="E",7,AP34="F",8,AP34="G",9),0)/45,)</f>
        <v>0</v>
      </c>
      <c r="AR34" s="156">
        <f>+DADES_ALTER!AA23</f>
        <v>0</v>
      </c>
      <c r="AS34" s="23"/>
      <c r="AT34" s="23"/>
      <c r="BE34" s="198"/>
    </row>
    <row r="35" spans="1:57">
      <c r="B35" s="11" t="s">
        <v>329</v>
      </c>
      <c r="C35" s="173">
        <f>+DADES_ALTER!C24</f>
        <v>0</v>
      </c>
      <c r="D35" s="156">
        <f>+DADES_ALTER!D24</f>
        <v>0</v>
      </c>
      <c r="E35" s="30" cm="1">
        <f t="array" ref="E35">IFERROR(VLOOKUP(C35,perdues_diposit,_xlfn.IFS(D35="A+",2,D35="A",3,D35="B",4,D35="C",5,D35="D",6,D35="E",7,D35="F",8,D35="G",9),0)/45,)</f>
        <v>0</v>
      </c>
      <c r="F35" s="156">
        <f>+DADES_ALTER!E24</f>
        <v>0</v>
      </c>
      <c r="G35" s="23"/>
      <c r="H35" s="23"/>
      <c r="S35" s="198"/>
      <c r="U35" s="11" t="s">
        <v>329</v>
      </c>
      <c r="V35" s="173">
        <f>+DADES_ALTER!N24</f>
        <v>0</v>
      </c>
      <c r="W35" s="156">
        <f>+DADES_ALTER!O24</f>
        <v>0</v>
      </c>
      <c r="X35" s="30" cm="1">
        <f t="array" ref="X35">IFERROR(VLOOKUP(V35,perdues_diposit,_xlfn.IFS(W35="A+",2,W35="A",3,W35="B",4,W35="C",5,W35="D",6,W35="E",7,W35="F",8,W35="G",9),0)/45,)</f>
        <v>0</v>
      </c>
      <c r="Y35" s="156">
        <f>+DADES_ALTER!P24</f>
        <v>0</v>
      </c>
      <c r="Z35" s="23"/>
      <c r="AA35" s="23"/>
      <c r="AL35" s="198"/>
      <c r="AN35" s="11" t="s">
        <v>329</v>
      </c>
      <c r="AO35" s="173">
        <f>+DADES_ALTER!Y24</f>
        <v>0</v>
      </c>
      <c r="AP35" s="156">
        <f>+DADES_ALTER!Z24</f>
        <v>0</v>
      </c>
      <c r="AQ35" s="30" cm="1">
        <f t="array" ref="AQ35">IFERROR(VLOOKUP(AO35,perdues_diposit,_xlfn.IFS(AP35="A+",2,AP35="A",3,AP35="B",4,AP35="C",5,AP35="D",6,AP35="E",7,AP35="F",8,AP35="G",9),0)/45,)</f>
        <v>0</v>
      </c>
      <c r="AR35" s="156">
        <f>+DADES_ALTER!AA24</f>
        <v>0</v>
      </c>
      <c r="AS35" s="23"/>
      <c r="AT35" s="23"/>
      <c r="BE35" s="198"/>
    </row>
    <row r="36" spans="1:57">
      <c r="S36" s="198"/>
      <c r="AL36" s="198"/>
      <c r="BE36" s="198"/>
    </row>
    <row r="37" spans="1:57">
      <c r="B37" s="3" t="s">
        <v>139</v>
      </c>
      <c r="D37" s="39">
        <f>+F33*C33+C34*F34+C35*F35</f>
        <v>0</v>
      </c>
      <c r="E37" s="3" t="s">
        <v>68</v>
      </c>
      <c r="S37" s="198"/>
      <c r="U37" s="3" t="s">
        <v>139</v>
      </c>
      <c r="W37" s="39">
        <f>+Y33*V33+V34*Y34+V35*Y35</f>
        <v>0</v>
      </c>
      <c r="X37" s="3" t="s">
        <v>68</v>
      </c>
      <c r="AL37" s="198"/>
      <c r="AN37" s="3" t="s">
        <v>139</v>
      </c>
      <c r="AP37" s="39">
        <f>+AR33*AO33+AO34*AR34+AO35*AR35</f>
        <v>0</v>
      </c>
      <c r="AQ37" s="3" t="s">
        <v>68</v>
      </c>
      <c r="BE37" s="198"/>
    </row>
    <row r="38" spans="1:57">
      <c r="B38" s="3" t="s">
        <v>308</v>
      </c>
      <c r="D38" s="5">
        <f>+E33*F33+E34*F34+E35*F35</f>
        <v>0</v>
      </c>
      <c r="E38" s="150" t="s">
        <v>75</v>
      </c>
      <c r="S38" s="198"/>
      <c r="U38" s="3" t="s">
        <v>308</v>
      </c>
      <c r="W38" s="5">
        <f>+X33*Y33+X34*Y34+X35*Y35</f>
        <v>0</v>
      </c>
      <c r="X38" s="150" t="s">
        <v>75</v>
      </c>
      <c r="AL38" s="198"/>
      <c r="AN38" s="3" t="s">
        <v>308</v>
      </c>
      <c r="AP38" s="5">
        <f>+AQ33*AR33+AQ34*AR34+AQ35*AR35</f>
        <v>0</v>
      </c>
      <c r="AQ38" s="150" t="s">
        <v>75</v>
      </c>
      <c r="BE38" s="198"/>
    </row>
    <row r="39" spans="1:57">
      <c r="B39" s="3" t="s">
        <v>127</v>
      </c>
      <c r="D39" s="153">
        <f>+DADES_ALTER!D26</f>
        <v>0</v>
      </c>
      <c r="E39" s="3" t="s">
        <v>1</v>
      </c>
      <c r="S39" s="198"/>
      <c r="U39" s="3" t="s">
        <v>127</v>
      </c>
      <c r="W39" s="153">
        <f>+DADES_ALTER!O26</f>
        <v>0</v>
      </c>
      <c r="X39" s="3" t="s">
        <v>1</v>
      </c>
      <c r="AL39" s="198"/>
      <c r="AN39" s="3" t="s">
        <v>127</v>
      </c>
      <c r="AP39" s="153">
        <f>+DADES_ALTER!Z26</f>
        <v>0</v>
      </c>
      <c r="AQ39" s="3" t="s">
        <v>1</v>
      </c>
      <c r="BE39" s="198"/>
    </row>
    <row r="40" spans="1:57">
      <c r="B40" s="3" t="s">
        <v>128</v>
      </c>
      <c r="D40" s="153">
        <f>+DADES_ALTER!D27</f>
        <v>0</v>
      </c>
      <c r="E40" s="3" t="s">
        <v>1</v>
      </c>
      <c r="S40" s="198"/>
      <c r="U40" s="3" t="s">
        <v>128</v>
      </c>
      <c r="W40" s="153">
        <f>+DADES_ALTER!O27</f>
        <v>0</v>
      </c>
      <c r="X40" s="3" t="s">
        <v>1</v>
      </c>
      <c r="AL40" s="198"/>
      <c r="AN40" s="3" t="s">
        <v>128</v>
      </c>
      <c r="AP40" s="153">
        <f>+DADES_ALTER!Z27</f>
        <v>0</v>
      </c>
      <c r="AQ40" s="3" t="s">
        <v>1</v>
      </c>
      <c r="BE40" s="198"/>
    </row>
    <row r="41" spans="1:57">
      <c r="B41" s="3" t="s">
        <v>113</v>
      </c>
      <c r="D41" s="23">
        <f>+D38*(D39-D40)</f>
        <v>0</v>
      </c>
      <c r="E41" s="3" t="s">
        <v>112</v>
      </c>
      <c r="S41" s="198"/>
      <c r="U41" s="3" t="s">
        <v>113</v>
      </c>
      <c r="W41" s="23">
        <f>+W38*(W39-W40)</f>
        <v>0</v>
      </c>
      <c r="X41" s="3" t="s">
        <v>112</v>
      </c>
      <c r="AL41" s="198"/>
      <c r="AN41" s="3" t="s">
        <v>113</v>
      </c>
      <c r="AP41" s="23">
        <f>+AP38*(AP39-AP40)</f>
        <v>0</v>
      </c>
      <c r="AQ41" s="3" t="s">
        <v>112</v>
      </c>
      <c r="BE41" s="198"/>
    </row>
    <row r="42" spans="1:57">
      <c r="B42" s="3" t="s">
        <v>271</v>
      </c>
      <c r="D42" s="107">
        <f>+D41*0.024</f>
        <v>0</v>
      </c>
      <c r="E42" s="3" t="s">
        <v>74</v>
      </c>
      <c r="S42" s="198"/>
      <c r="U42" s="3" t="s">
        <v>271</v>
      </c>
      <c r="W42" s="107">
        <f>+W41*0.024</f>
        <v>0</v>
      </c>
      <c r="X42" s="3" t="s">
        <v>74</v>
      </c>
      <c r="AL42" s="198"/>
      <c r="AN42" s="3" t="s">
        <v>271</v>
      </c>
      <c r="AP42" s="107">
        <f>+AP41*0.024</f>
        <v>0</v>
      </c>
      <c r="AQ42" s="3" t="s">
        <v>74</v>
      </c>
      <c r="BE42" s="198"/>
    </row>
    <row r="43" spans="1:57">
      <c r="B43" s="3" t="s">
        <v>87</v>
      </c>
      <c r="D43" s="2">
        <f>+DADES_ALTER!$D$28</f>
        <v>0</v>
      </c>
      <c r="E43" s="3" t="s">
        <v>88</v>
      </c>
      <c r="S43" s="198"/>
      <c r="U43" s="3" t="s">
        <v>87</v>
      </c>
      <c r="W43" s="2">
        <f>+DADES_ALTER!$D$28</f>
        <v>0</v>
      </c>
      <c r="X43" s="3" t="s">
        <v>88</v>
      </c>
      <c r="AL43" s="198"/>
      <c r="AN43" s="3" t="s">
        <v>87</v>
      </c>
      <c r="AP43" s="2">
        <f>+DADES_ALTER!$D$28</f>
        <v>0</v>
      </c>
      <c r="AQ43" s="3" t="s">
        <v>88</v>
      </c>
      <c r="BE43" s="198"/>
    </row>
    <row r="44" spans="1:57">
      <c r="B44" s="3" t="s">
        <v>90</v>
      </c>
      <c r="D44" s="39">
        <f>+D42*D43</f>
        <v>0</v>
      </c>
      <c r="E44" s="3" t="s">
        <v>32</v>
      </c>
      <c r="S44" s="198"/>
      <c r="U44" s="3" t="s">
        <v>90</v>
      </c>
      <c r="W44" s="39">
        <f>+W42*W43</f>
        <v>0</v>
      </c>
      <c r="X44" s="3" t="s">
        <v>32</v>
      </c>
      <c r="AL44" s="198"/>
      <c r="AN44" s="3" t="s">
        <v>90</v>
      </c>
      <c r="AP44" s="39">
        <f>+AP42*AP43</f>
        <v>0</v>
      </c>
      <c r="AQ44" s="3" t="s">
        <v>32</v>
      </c>
      <c r="BE44" s="198"/>
    </row>
    <row r="45" spans="1:57">
      <c r="B45" s="2" t="s">
        <v>102</v>
      </c>
      <c r="D45" s="44" t="e">
        <f>+D44/$D$7</f>
        <v>#DIV/0!</v>
      </c>
      <c r="E45" s="2" t="s">
        <v>32</v>
      </c>
      <c r="S45" s="198"/>
      <c r="U45" s="2" t="s">
        <v>102</v>
      </c>
      <c r="W45" s="44" t="e">
        <f>+W44/$W$7</f>
        <v>#DIV/0!</v>
      </c>
      <c r="X45" s="2" t="s">
        <v>32</v>
      </c>
      <c r="AL45" s="198"/>
      <c r="AN45" s="2" t="s">
        <v>102</v>
      </c>
      <c r="AP45" s="44" t="e">
        <f>+AP44/AP7</f>
        <v>#DIV/0!</v>
      </c>
      <c r="AQ45" s="2" t="s">
        <v>32</v>
      </c>
      <c r="BE45" s="198"/>
    </row>
    <row r="46" spans="1:57">
      <c r="B46" s="3" t="s">
        <v>359</v>
      </c>
      <c r="D46" s="39" t="e">
        <f>(D45/$D$6+D43*0.17)*$D$11</f>
        <v>#DIV/0!</v>
      </c>
      <c r="E46" s="3" t="s">
        <v>32</v>
      </c>
      <c r="S46" s="198"/>
      <c r="U46" s="3" t="s">
        <v>359</v>
      </c>
      <c r="W46" s="39" t="e">
        <f>(W45/W6+W43*0.17)*W11</f>
        <v>#DIV/0!</v>
      </c>
      <c r="X46" s="3" t="s">
        <v>32</v>
      </c>
      <c r="AL46" s="198"/>
      <c r="AN46" s="3" t="s">
        <v>359</v>
      </c>
      <c r="AP46" s="39" t="e">
        <f>(AP45/AP6+AP43*0.17)*AP11</f>
        <v>#DIV/0!</v>
      </c>
      <c r="AQ46" s="3" t="s">
        <v>32</v>
      </c>
      <c r="BE46" s="198"/>
    </row>
    <row r="47" spans="1:57">
      <c r="S47" s="198"/>
      <c r="AL47" s="198"/>
      <c r="BE47" s="198"/>
    </row>
    <row r="48" spans="1:57">
      <c r="A48" s="2"/>
      <c r="B48" s="1" t="s">
        <v>156</v>
      </c>
      <c r="C48" s="1"/>
      <c r="D48" s="1"/>
      <c r="E48" s="1"/>
      <c r="F48" s="1"/>
      <c r="G48" s="1"/>
      <c r="H48" s="1"/>
      <c r="I48" s="1"/>
      <c r="J48" s="1"/>
      <c r="K48" s="1"/>
      <c r="L48" s="1"/>
      <c r="M48" s="1"/>
      <c r="N48" s="1"/>
      <c r="S48" s="198"/>
      <c r="T48" s="2"/>
      <c r="U48" s="1" t="s">
        <v>156</v>
      </c>
      <c r="V48" s="1"/>
      <c r="W48" s="1"/>
      <c r="X48" s="1"/>
      <c r="Y48" s="1"/>
      <c r="Z48" s="1"/>
      <c r="AA48" s="1"/>
      <c r="AB48" s="1"/>
      <c r="AC48" s="1"/>
      <c r="AD48" s="1"/>
      <c r="AE48" s="1"/>
      <c r="AF48" s="1"/>
      <c r="AG48" s="1"/>
      <c r="AL48" s="198"/>
      <c r="AM48" s="2"/>
      <c r="AN48" s="1" t="s">
        <v>156</v>
      </c>
      <c r="AO48" s="1"/>
      <c r="AP48" s="1"/>
      <c r="AQ48" s="1"/>
      <c r="AR48" s="1"/>
      <c r="AS48" s="1"/>
      <c r="AT48" s="1"/>
      <c r="AU48" s="1"/>
      <c r="AV48" s="1"/>
      <c r="AW48" s="1"/>
      <c r="AX48" s="1"/>
      <c r="AY48" s="1"/>
      <c r="AZ48" s="1"/>
      <c r="BE48" s="198"/>
    </row>
    <row r="49" spans="1:57">
      <c r="B49" s="2" t="s">
        <v>297</v>
      </c>
      <c r="F49" s="2" t="s">
        <v>298</v>
      </c>
      <c r="J49" s="2" t="s">
        <v>293</v>
      </c>
      <c r="S49" s="198"/>
      <c r="U49" s="2" t="s">
        <v>297</v>
      </c>
      <c r="Y49" s="2" t="s">
        <v>298</v>
      </c>
      <c r="AC49" s="2" t="s">
        <v>293</v>
      </c>
      <c r="AL49" s="198"/>
      <c r="AN49" s="2" t="s">
        <v>297</v>
      </c>
      <c r="AR49" s="2" t="s">
        <v>298</v>
      </c>
      <c r="AV49" s="2" t="s">
        <v>293</v>
      </c>
      <c r="BE49" s="198"/>
    </row>
    <row r="50" spans="1:57">
      <c r="B50" s="3" t="s">
        <v>0</v>
      </c>
      <c r="D50" s="155">
        <f>+DADES_ALTER!D32</f>
        <v>0</v>
      </c>
      <c r="E50" s="3" t="s">
        <v>1</v>
      </c>
      <c r="F50" s="3" t="s">
        <v>106</v>
      </c>
      <c r="H50" s="154">
        <f>+DADES_ALTER!D35</f>
        <v>0</v>
      </c>
      <c r="J50" s="3" t="s">
        <v>294</v>
      </c>
      <c r="L50" s="154">
        <f>+DADES_ALTER!D57</f>
        <v>0</v>
      </c>
      <c r="M50" s="3" t="s">
        <v>108</v>
      </c>
      <c r="S50" s="198"/>
      <c r="U50" s="3" t="s">
        <v>0</v>
      </c>
      <c r="W50" s="155">
        <f>+DADES_ALTER!O32</f>
        <v>0</v>
      </c>
      <c r="X50" s="3" t="s">
        <v>1</v>
      </c>
      <c r="Y50" s="3" t="s">
        <v>106</v>
      </c>
      <c r="AA50" s="154">
        <f>+DADES_ALTER!O28</f>
        <v>0</v>
      </c>
      <c r="AC50" s="3" t="s">
        <v>294</v>
      </c>
      <c r="AE50" s="154">
        <f>+DADES_ALTER!O57</f>
        <v>0</v>
      </c>
      <c r="AF50" s="3" t="s">
        <v>108</v>
      </c>
      <c r="AL50" s="198"/>
      <c r="AN50" s="3" t="s">
        <v>0</v>
      </c>
      <c r="AP50" s="155">
        <f>+DADES_ALTER!Z32</f>
        <v>0</v>
      </c>
      <c r="AQ50" s="3" t="s">
        <v>1</v>
      </c>
      <c r="AR50" s="3" t="s">
        <v>106</v>
      </c>
      <c r="AT50" s="154">
        <f>+DADES_ALTER!Z28</f>
        <v>0</v>
      </c>
      <c r="AV50" s="3" t="s">
        <v>294</v>
      </c>
      <c r="AX50" s="154">
        <f>+DADES_ALTER!Z57</f>
        <v>0</v>
      </c>
      <c r="AY50" s="3" t="s">
        <v>108</v>
      </c>
      <c r="BE50" s="198"/>
    </row>
    <row r="51" spans="1:57">
      <c r="B51" s="3" t="s">
        <v>5</v>
      </c>
      <c r="D51" s="5" t="str">
        <f>IFERROR((D50+L53)/2,"falta cabal")</f>
        <v>falta cabal</v>
      </c>
      <c r="E51" s="3" t="s">
        <v>1</v>
      </c>
      <c r="F51" s="3" t="s">
        <v>107</v>
      </c>
      <c r="H51" s="154">
        <f>+DADES_ALTER!D36</f>
        <v>0</v>
      </c>
      <c r="J51" s="3" t="s">
        <v>109</v>
      </c>
      <c r="L51" s="46">
        <f>+L50/1000*H52</f>
        <v>0</v>
      </c>
      <c r="M51" s="3" t="s">
        <v>21</v>
      </c>
      <c r="S51" s="198"/>
      <c r="U51" s="3" t="s">
        <v>5</v>
      </c>
      <c r="W51" s="5" t="str">
        <f>IFERROR((W50+AE53)/2,"falta cabal")</f>
        <v>falta cabal</v>
      </c>
      <c r="X51" s="3" t="s">
        <v>1</v>
      </c>
      <c r="Y51" s="3" t="s">
        <v>107</v>
      </c>
      <c r="AA51" s="154">
        <f>+DADES_ALTER!O36</f>
        <v>0</v>
      </c>
      <c r="AC51" s="3" t="s">
        <v>109</v>
      </c>
      <c r="AE51" s="46">
        <f>+AE50/1000*AA52</f>
        <v>0</v>
      </c>
      <c r="AF51" s="3" t="s">
        <v>21</v>
      </c>
      <c r="AL51" s="198"/>
      <c r="AN51" s="3" t="s">
        <v>5</v>
      </c>
      <c r="AP51" s="5" t="str">
        <f>IFERROR((AP50+AX53)/2,"falta cabal")</f>
        <v>falta cabal</v>
      </c>
      <c r="AQ51" s="3" t="s">
        <v>1</v>
      </c>
      <c r="AR51" s="3" t="s">
        <v>107</v>
      </c>
      <c r="AT51" s="154">
        <f>+DADES_ALTER!Z36</f>
        <v>0</v>
      </c>
      <c r="AV51" s="3" t="s">
        <v>109</v>
      </c>
      <c r="AX51" s="46">
        <f>+AX50/1000*AT52</f>
        <v>0</v>
      </c>
      <c r="AY51" s="3" t="s">
        <v>21</v>
      </c>
      <c r="BE51" s="198"/>
    </row>
    <row r="52" spans="1:57">
      <c r="B52" s="3" t="s">
        <v>6</v>
      </c>
      <c r="D52" s="155">
        <f>+DADES_ALTER!D33</f>
        <v>0</v>
      </c>
      <c r="E52" s="3" t="s">
        <v>1</v>
      </c>
      <c r="F52" s="3" t="s">
        <v>2</v>
      </c>
      <c r="H52" s="43">
        <f>+H51*H50</f>
        <v>0</v>
      </c>
      <c r="I52" s="3" t="s">
        <v>295</v>
      </c>
      <c r="J52" s="3" t="s">
        <v>290</v>
      </c>
      <c r="L52" s="154">
        <f>+DADES_ALTER!D58</f>
        <v>0</v>
      </c>
      <c r="M52" s="3" t="s">
        <v>291</v>
      </c>
      <c r="S52" s="198"/>
      <c r="U52" s="3" t="s">
        <v>6</v>
      </c>
      <c r="W52" s="155">
        <f>+DADES_ALTER!O33</f>
        <v>0</v>
      </c>
      <c r="X52" s="3" t="s">
        <v>1</v>
      </c>
      <c r="Y52" s="3" t="s">
        <v>2</v>
      </c>
      <c r="AA52" s="43">
        <f>+AA51*AA50</f>
        <v>0</v>
      </c>
      <c r="AB52" s="3" t="s">
        <v>295</v>
      </c>
      <c r="AC52" s="3" t="s">
        <v>290</v>
      </c>
      <c r="AE52" s="154">
        <f>+DADES_ALTER!O58</f>
        <v>0</v>
      </c>
      <c r="AF52" s="3" t="s">
        <v>291</v>
      </c>
      <c r="AL52" s="198"/>
      <c r="AN52" s="3" t="s">
        <v>6</v>
      </c>
      <c r="AP52" s="155">
        <f>+DADES_ALTER!Z33</f>
        <v>0</v>
      </c>
      <c r="AQ52" s="3" t="s">
        <v>1</v>
      </c>
      <c r="AR52" s="3" t="s">
        <v>2</v>
      </c>
      <c r="AT52" s="43">
        <f>+AT51*AT50</f>
        <v>0</v>
      </c>
      <c r="AU52" s="3" t="s">
        <v>295</v>
      </c>
      <c r="AV52" s="3" t="s">
        <v>290</v>
      </c>
      <c r="AX52" s="154">
        <f>+DADES_ALTER!Z58</f>
        <v>0</v>
      </c>
      <c r="AY52" s="3" t="s">
        <v>291</v>
      </c>
      <c r="BE52" s="198"/>
    </row>
    <row r="53" spans="1:57">
      <c r="B53" s="3" t="s">
        <v>8</v>
      </c>
      <c r="D53" s="155">
        <f>+DADES_ALTER!D34</f>
        <v>0</v>
      </c>
      <c r="E53" s="3" t="s">
        <v>1</v>
      </c>
      <c r="F53" s="3" t="s">
        <v>343</v>
      </c>
      <c r="H53" s="166">
        <f>+D7</f>
        <v>0</v>
      </c>
      <c r="J53" s="3" t="s">
        <v>296</v>
      </c>
      <c r="L53" s="41" t="str">
        <f>IFERROR(D50-(L93/(L52/860)),"falta cabal")</f>
        <v>falta cabal</v>
      </c>
      <c r="M53" s="3" t="s">
        <v>1</v>
      </c>
      <c r="S53" s="198"/>
      <c r="U53" s="3" t="s">
        <v>8</v>
      </c>
      <c r="W53" s="155">
        <f>+DADES_ALTER!O34</f>
        <v>0</v>
      </c>
      <c r="X53" s="3" t="s">
        <v>1</v>
      </c>
      <c r="Y53" s="3" t="s">
        <v>343</v>
      </c>
      <c r="AA53" s="166">
        <f>+W7</f>
        <v>0</v>
      </c>
      <c r="AC53" s="3" t="s">
        <v>296</v>
      </c>
      <c r="AE53" s="41" t="str">
        <f>IFERROR(W50-(AE93/(AE52/860)),"falta cabal")</f>
        <v>falta cabal</v>
      </c>
      <c r="AF53" s="3" t="s">
        <v>1</v>
      </c>
      <c r="AL53" s="198"/>
      <c r="AN53" s="3" t="s">
        <v>8</v>
      </c>
      <c r="AP53" s="155">
        <f>+DADES_ALTER!Z34</f>
        <v>0</v>
      </c>
      <c r="AQ53" s="3" t="s">
        <v>1</v>
      </c>
      <c r="AR53" s="3" t="s">
        <v>343</v>
      </c>
      <c r="AT53" s="166">
        <f>+AP7</f>
        <v>0</v>
      </c>
      <c r="AV53" s="3" t="s">
        <v>296</v>
      </c>
      <c r="AX53" s="41" t="str">
        <f>IFERROR(AP50-(AX93/(AX52/860)),"falta cabal")</f>
        <v>falta cabal</v>
      </c>
      <c r="AY53" s="3" t="s">
        <v>1</v>
      </c>
      <c r="BE53" s="198"/>
    </row>
    <row r="54" spans="1:57">
      <c r="B54" s="3" t="s">
        <v>7</v>
      </c>
      <c r="D54" s="5">
        <f>+D50-D52</f>
        <v>0</v>
      </c>
      <c r="E54" s="3" t="s">
        <v>1</v>
      </c>
      <c r="F54" s="3" t="s">
        <v>292</v>
      </c>
      <c r="H54" s="167">
        <f>+D9</f>
        <v>0</v>
      </c>
      <c r="I54" s="3" t="s">
        <v>4</v>
      </c>
      <c r="S54" s="198"/>
      <c r="U54" s="3" t="s">
        <v>7</v>
      </c>
      <c r="W54" s="5">
        <f>+W50-W52</f>
        <v>0</v>
      </c>
      <c r="X54" s="3" t="s">
        <v>1</v>
      </c>
      <c r="Y54" s="3" t="s">
        <v>292</v>
      </c>
      <c r="AA54" s="167">
        <f>+W9</f>
        <v>0</v>
      </c>
      <c r="AB54" s="3" t="s">
        <v>4</v>
      </c>
      <c r="AL54" s="198"/>
      <c r="AN54" s="3" t="s">
        <v>7</v>
      </c>
      <c r="AP54" s="5">
        <f>+AP50-AP52</f>
        <v>0</v>
      </c>
      <c r="AQ54" s="3" t="s">
        <v>1</v>
      </c>
      <c r="AR54" s="3" t="s">
        <v>292</v>
      </c>
      <c r="AT54" s="167">
        <f>+AP9</f>
        <v>0</v>
      </c>
      <c r="AU54" s="3" t="s">
        <v>4</v>
      </c>
      <c r="BE54" s="198"/>
    </row>
    <row r="55" spans="1:57">
      <c r="B55" s="3" t="s">
        <v>10</v>
      </c>
      <c r="D55" s="5">
        <f>+D50-D53</f>
        <v>0</v>
      </c>
      <c r="E55" s="3" t="s">
        <v>1</v>
      </c>
      <c r="S55" s="198"/>
      <c r="U55" s="3" t="s">
        <v>10</v>
      </c>
      <c r="W55" s="5">
        <f>+W50-W53</f>
        <v>0</v>
      </c>
      <c r="X55" s="3" t="s">
        <v>1</v>
      </c>
      <c r="AL55" s="198"/>
      <c r="AN55" s="3" t="s">
        <v>10</v>
      </c>
      <c r="AP55" s="5">
        <f>+AP50-AP53</f>
        <v>0</v>
      </c>
      <c r="AQ55" s="3" t="s">
        <v>1</v>
      </c>
      <c r="BE55" s="198"/>
    </row>
    <row r="56" spans="1:57">
      <c r="A56" s="4"/>
      <c r="B56" s="4"/>
      <c r="C56" s="4"/>
      <c r="D56" s="4"/>
      <c r="E56" s="4"/>
      <c r="F56" s="4"/>
      <c r="G56" s="4"/>
      <c r="H56" s="4"/>
      <c r="I56" s="4"/>
      <c r="J56" s="4"/>
      <c r="K56" s="4"/>
      <c r="L56" s="4"/>
      <c r="M56" s="4"/>
      <c r="N56" s="4"/>
      <c r="O56" s="4"/>
      <c r="S56" s="198"/>
      <c r="T56" s="4"/>
      <c r="U56" s="4"/>
      <c r="V56" s="4"/>
      <c r="W56" s="4"/>
      <c r="X56" s="4"/>
      <c r="Y56" s="4"/>
      <c r="Z56" s="4"/>
      <c r="AA56" s="4"/>
      <c r="AB56" s="4"/>
      <c r="AC56" s="4"/>
      <c r="AD56" s="4"/>
      <c r="AE56" s="4"/>
      <c r="AF56" s="4"/>
      <c r="AG56" s="4"/>
      <c r="AH56" s="4"/>
      <c r="AL56" s="198"/>
      <c r="AM56" s="4"/>
      <c r="AN56" s="4"/>
      <c r="AO56" s="4"/>
      <c r="AP56" s="4"/>
      <c r="AQ56" s="4"/>
      <c r="AR56" s="4"/>
      <c r="AS56" s="4"/>
      <c r="AT56" s="4"/>
      <c r="AU56" s="4"/>
      <c r="AV56" s="4"/>
      <c r="AW56" s="4"/>
      <c r="AX56" s="4"/>
      <c r="AY56" s="4"/>
      <c r="AZ56" s="4"/>
      <c r="BA56" s="4"/>
      <c r="BE56" s="198"/>
    </row>
    <row r="57" spans="1:57">
      <c r="A57" s="4"/>
      <c r="B57" s="1" t="s">
        <v>267</v>
      </c>
      <c r="C57" s="1"/>
      <c r="D57" s="1"/>
      <c r="E57" s="1"/>
      <c r="F57" s="1"/>
      <c r="G57" s="1"/>
      <c r="H57" s="1"/>
      <c r="I57" s="1"/>
      <c r="J57" s="1"/>
      <c r="K57" s="1"/>
      <c r="L57" s="1"/>
      <c r="M57" s="1"/>
      <c r="N57" s="1"/>
      <c r="O57" s="1"/>
      <c r="P57" s="1"/>
      <c r="Q57" s="1"/>
      <c r="R57" s="1"/>
      <c r="S57" s="198"/>
      <c r="T57" s="4"/>
      <c r="U57" s="1" t="s">
        <v>267</v>
      </c>
      <c r="V57" s="1"/>
      <c r="W57" s="1"/>
      <c r="X57" s="1"/>
      <c r="Y57" s="1"/>
      <c r="Z57" s="1"/>
      <c r="AA57" s="1"/>
      <c r="AB57" s="1"/>
      <c r="AC57" s="1"/>
      <c r="AD57" s="1"/>
      <c r="AE57" s="1"/>
      <c r="AF57" s="1"/>
      <c r="AG57" s="1"/>
      <c r="AH57" s="1"/>
      <c r="AI57" s="1"/>
      <c r="AJ57" s="1"/>
      <c r="AK57" s="1"/>
      <c r="AL57" s="198"/>
      <c r="AM57" s="4"/>
      <c r="AN57" s="1" t="s">
        <v>267</v>
      </c>
      <c r="AO57" s="1"/>
      <c r="AP57" s="1"/>
      <c r="AQ57" s="1"/>
      <c r="AR57" s="1"/>
      <c r="AS57" s="1"/>
      <c r="AT57" s="1"/>
      <c r="AU57" s="1"/>
      <c r="AV57" s="1"/>
      <c r="AW57" s="1"/>
      <c r="AX57" s="1"/>
      <c r="AY57" s="1"/>
      <c r="AZ57" s="1"/>
      <c r="BA57" s="1"/>
      <c r="BB57" s="1"/>
      <c r="BC57" s="1"/>
      <c r="BD57" s="1"/>
      <c r="BE57" s="198"/>
    </row>
    <row r="58" spans="1:57">
      <c r="A58" s="4"/>
      <c r="B58" s="575" t="s">
        <v>318</v>
      </c>
      <c r="C58" s="575"/>
      <c r="D58" s="575"/>
      <c r="E58" s="575"/>
      <c r="F58" s="575"/>
      <c r="G58" s="575"/>
      <c r="H58" s="4"/>
      <c r="I58" s="574" t="s">
        <v>339</v>
      </c>
      <c r="J58" s="574"/>
      <c r="K58" s="574"/>
      <c r="L58" s="574"/>
      <c r="M58" s="574"/>
      <c r="N58" s="574"/>
      <c r="O58" s="574"/>
      <c r="P58" s="574"/>
      <c r="Q58" s="448"/>
      <c r="R58" s="448"/>
      <c r="S58" s="198"/>
      <c r="T58" s="4"/>
      <c r="U58" s="575" t="s">
        <v>318</v>
      </c>
      <c r="V58" s="575"/>
      <c r="W58" s="575"/>
      <c r="X58" s="575"/>
      <c r="Y58" s="575"/>
      <c r="Z58" s="575"/>
      <c r="AA58" s="4"/>
      <c r="AB58" s="574" t="s">
        <v>339</v>
      </c>
      <c r="AC58" s="574"/>
      <c r="AD58" s="574"/>
      <c r="AE58" s="574"/>
      <c r="AF58" s="574"/>
      <c r="AG58" s="574"/>
      <c r="AH58" s="574"/>
      <c r="AI58" s="574"/>
      <c r="AJ58" s="448"/>
      <c r="AK58" s="448"/>
      <c r="AL58" s="198"/>
      <c r="AM58" s="4"/>
      <c r="AN58" s="575" t="s">
        <v>318</v>
      </c>
      <c r="AO58" s="575"/>
      <c r="AP58" s="575"/>
      <c r="AQ58" s="575"/>
      <c r="AR58" s="575"/>
      <c r="AS58" s="575"/>
      <c r="AT58" s="4"/>
      <c r="AU58" s="574" t="s">
        <v>339</v>
      </c>
      <c r="AV58" s="574"/>
      <c r="AW58" s="574"/>
      <c r="AX58" s="574"/>
      <c r="AY58" s="574"/>
      <c r="AZ58" s="574"/>
      <c r="BA58" s="574"/>
      <c r="BB58" s="574"/>
      <c r="BC58" s="448"/>
      <c r="BD58" s="448"/>
      <c r="BE58" s="198"/>
    </row>
    <row r="59" spans="1:57">
      <c r="A59" s="576" t="s">
        <v>320</v>
      </c>
      <c r="B59" s="2" t="s">
        <v>311</v>
      </c>
      <c r="I59" s="2" t="s">
        <v>313</v>
      </c>
      <c r="S59" s="198"/>
      <c r="T59" s="576" t="s">
        <v>320</v>
      </c>
      <c r="U59" s="2" t="s">
        <v>311</v>
      </c>
      <c r="AB59" s="2" t="s">
        <v>313</v>
      </c>
      <c r="AL59" s="198"/>
      <c r="AM59" s="576" t="s">
        <v>320</v>
      </c>
      <c r="AN59" s="2" t="s">
        <v>311</v>
      </c>
      <c r="AU59" s="2" t="s">
        <v>313</v>
      </c>
      <c r="BE59" s="198"/>
    </row>
    <row r="60" spans="1:57" ht="43.2">
      <c r="A60" s="576"/>
      <c r="B60" s="13" t="s">
        <v>9</v>
      </c>
      <c r="C60" s="14"/>
      <c r="D60" s="15" t="s">
        <v>12</v>
      </c>
      <c r="E60" s="15" t="s">
        <v>13</v>
      </c>
      <c r="F60" s="15" t="s">
        <v>14</v>
      </c>
      <c r="G60" s="15" t="s">
        <v>15</v>
      </c>
      <c r="I60" s="13" t="s">
        <v>9</v>
      </c>
      <c r="J60" s="14"/>
      <c r="K60" s="15" t="s">
        <v>27</v>
      </c>
      <c r="L60" s="15" t="s">
        <v>13</v>
      </c>
      <c r="M60" s="15" t="s">
        <v>28</v>
      </c>
      <c r="N60" s="13" t="s">
        <v>29</v>
      </c>
      <c r="O60" s="28"/>
      <c r="P60" s="15" t="s">
        <v>15</v>
      </c>
      <c r="Q60" s="15" t="s">
        <v>39</v>
      </c>
      <c r="R60" s="15" t="s">
        <v>40</v>
      </c>
      <c r="S60" s="235"/>
      <c r="T60" s="576"/>
      <c r="U60" s="13" t="s">
        <v>9</v>
      </c>
      <c r="V60" s="14"/>
      <c r="W60" s="15" t="s">
        <v>12</v>
      </c>
      <c r="X60" s="15" t="s">
        <v>13</v>
      </c>
      <c r="Y60" s="15" t="s">
        <v>14</v>
      </c>
      <c r="Z60" s="15" t="s">
        <v>15</v>
      </c>
      <c r="AB60" s="13" t="s">
        <v>9</v>
      </c>
      <c r="AC60" s="14"/>
      <c r="AD60" s="15" t="s">
        <v>27</v>
      </c>
      <c r="AE60" s="15" t="s">
        <v>13</v>
      </c>
      <c r="AF60" s="15" t="s">
        <v>28</v>
      </c>
      <c r="AG60" s="13" t="s">
        <v>29</v>
      </c>
      <c r="AH60" s="28"/>
      <c r="AI60" s="15" t="s">
        <v>15</v>
      </c>
      <c r="AJ60" s="15" t="s">
        <v>39</v>
      </c>
      <c r="AK60" s="15" t="s">
        <v>40</v>
      </c>
      <c r="AL60" s="235"/>
      <c r="AM60" s="576"/>
      <c r="AN60" s="13" t="s">
        <v>9</v>
      </c>
      <c r="AO60" s="14"/>
      <c r="AP60" s="15" t="s">
        <v>12</v>
      </c>
      <c r="AQ60" s="15" t="s">
        <v>13</v>
      </c>
      <c r="AR60" s="15" t="s">
        <v>14</v>
      </c>
      <c r="AS60" s="15" t="s">
        <v>15</v>
      </c>
      <c r="AU60" s="13" t="s">
        <v>9</v>
      </c>
      <c r="AV60" s="14"/>
      <c r="AW60" s="15" t="s">
        <v>27</v>
      </c>
      <c r="AX60" s="15" t="s">
        <v>13</v>
      </c>
      <c r="AY60" s="15" t="s">
        <v>28</v>
      </c>
      <c r="AZ60" s="13" t="s">
        <v>29</v>
      </c>
      <c r="BA60" s="28"/>
      <c r="BB60" s="15" t="s">
        <v>15</v>
      </c>
      <c r="BC60" s="15" t="s">
        <v>39</v>
      </c>
      <c r="BD60" s="15" t="s">
        <v>40</v>
      </c>
      <c r="BE60" s="235"/>
    </row>
    <row r="61" spans="1:57">
      <c r="A61" s="576"/>
      <c r="B61" s="17" t="s">
        <v>16</v>
      </c>
      <c r="C61" s="17" t="s">
        <v>17</v>
      </c>
      <c r="D61" s="17" t="s">
        <v>18</v>
      </c>
      <c r="E61" s="17" t="s">
        <v>1</v>
      </c>
      <c r="F61" s="17" t="s">
        <v>19</v>
      </c>
      <c r="G61" s="17" t="s">
        <v>20</v>
      </c>
      <c r="I61" s="17" t="s">
        <v>16</v>
      </c>
      <c r="J61" s="17" t="s">
        <v>17</v>
      </c>
      <c r="K61" s="17" t="s">
        <v>18</v>
      </c>
      <c r="L61" s="17" t="s">
        <v>1</v>
      </c>
      <c r="M61" s="17" t="s">
        <v>16</v>
      </c>
      <c r="N61" s="17" t="s">
        <v>31</v>
      </c>
      <c r="O61" s="17" t="s">
        <v>19</v>
      </c>
      <c r="P61" s="17" t="s">
        <v>20</v>
      </c>
      <c r="Q61" s="17" t="s">
        <v>42</v>
      </c>
      <c r="R61" s="17" t="s">
        <v>43</v>
      </c>
      <c r="S61" s="198"/>
      <c r="T61" s="576"/>
      <c r="U61" s="17" t="s">
        <v>16</v>
      </c>
      <c r="V61" s="17" t="s">
        <v>17</v>
      </c>
      <c r="W61" s="17" t="s">
        <v>18</v>
      </c>
      <c r="X61" s="17" t="s">
        <v>1</v>
      </c>
      <c r="Y61" s="17" t="s">
        <v>19</v>
      </c>
      <c r="Z61" s="17" t="s">
        <v>20</v>
      </c>
      <c r="AB61" s="17" t="s">
        <v>16</v>
      </c>
      <c r="AC61" s="17" t="s">
        <v>17</v>
      </c>
      <c r="AD61" s="17" t="s">
        <v>18</v>
      </c>
      <c r="AE61" s="17" t="s">
        <v>1</v>
      </c>
      <c r="AF61" s="17" t="s">
        <v>16</v>
      </c>
      <c r="AG61" s="17" t="s">
        <v>31</v>
      </c>
      <c r="AH61" s="17" t="s">
        <v>19</v>
      </c>
      <c r="AI61" s="17" t="s">
        <v>20</v>
      </c>
      <c r="AJ61" s="17" t="s">
        <v>42</v>
      </c>
      <c r="AK61" s="17" t="s">
        <v>43</v>
      </c>
      <c r="AL61" s="198"/>
      <c r="AM61" s="576"/>
      <c r="AN61" s="17" t="s">
        <v>16</v>
      </c>
      <c r="AO61" s="17" t="s">
        <v>17</v>
      </c>
      <c r="AP61" s="17" t="s">
        <v>18</v>
      </c>
      <c r="AQ61" s="17" t="s">
        <v>1</v>
      </c>
      <c r="AR61" s="17" t="s">
        <v>19</v>
      </c>
      <c r="AS61" s="17" t="s">
        <v>20</v>
      </c>
      <c r="AU61" s="17" t="s">
        <v>16</v>
      </c>
      <c r="AV61" s="17" t="s">
        <v>17</v>
      </c>
      <c r="AW61" s="17" t="s">
        <v>18</v>
      </c>
      <c r="AX61" s="17" t="s">
        <v>1</v>
      </c>
      <c r="AY61" s="17" t="s">
        <v>16</v>
      </c>
      <c r="AZ61" s="17" t="s">
        <v>31</v>
      </c>
      <c r="BA61" s="17" t="s">
        <v>19</v>
      </c>
      <c r="BB61" s="17" t="s">
        <v>20</v>
      </c>
      <c r="BC61" s="17" t="s">
        <v>42</v>
      </c>
      <c r="BD61" s="17" t="s">
        <v>43</v>
      </c>
      <c r="BE61" s="198"/>
    </row>
    <row r="62" spans="1:57">
      <c r="A62" s="576"/>
      <c r="B62" s="17">
        <v>15</v>
      </c>
      <c r="C62" s="19" t="s">
        <v>22</v>
      </c>
      <c r="D62" s="156">
        <f>+DADES_ALTER!D43</f>
        <v>0</v>
      </c>
      <c r="E62" s="30">
        <f>+$D$55</f>
        <v>0</v>
      </c>
      <c r="F62" s="20">
        <f>IFERROR(VLOOKUP(E62,perdues_sense_aillar,2),)</f>
        <v>0</v>
      </c>
      <c r="G62" s="35">
        <f t="shared" ref="G62" si="12">+F62*D62/1000</f>
        <v>0</v>
      </c>
      <c r="I62" s="17">
        <v>15</v>
      </c>
      <c r="J62" s="19" t="s">
        <v>22</v>
      </c>
      <c r="K62" s="156">
        <f>+DADES_ALTER!F43</f>
        <v>0</v>
      </c>
      <c r="L62" s="30">
        <f>+$D$55</f>
        <v>0</v>
      </c>
      <c r="M62" s="156">
        <f>+DADES_ALTER!G43</f>
        <v>0</v>
      </c>
      <c r="N62" s="162" cm="1">
        <f t="array" ref="N62">IFERROR(VLOOKUP(I62,perdues_amb_aillament,_xlfn.IFS(M62=20,3,M62=25,4,M62=30,5,M62=35,6,M62=40,7,M62=45,8,M62=50,9,M62=55,10)),)</f>
        <v>0</v>
      </c>
      <c r="O62" s="30">
        <f>+N62*L62</f>
        <v>0</v>
      </c>
      <c r="P62" s="35">
        <f>+O62*K62/1000</f>
        <v>0</v>
      </c>
      <c r="Q62" s="160" cm="1">
        <f t="array" ref="Q62">IFERROR(VLOOKUP(I62,cost_aillament,_xlfn.IFS(M62=20,3,M62=25,4,M62=30,5,M62=35,6,M62=40,7,M62=45,8,M62=50,9,M62=55,10))*1.3,)</f>
        <v>0</v>
      </c>
      <c r="R62" s="160">
        <f>+Q62*K62</f>
        <v>0</v>
      </c>
      <c r="S62" s="198"/>
      <c r="T62" s="576"/>
      <c r="U62" s="17">
        <v>15</v>
      </c>
      <c r="V62" s="19" t="s">
        <v>22</v>
      </c>
      <c r="W62" s="156">
        <f>+DADES_ALTER!O43</f>
        <v>0</v>
      </c>
      <c r="X62" s="30">
        <f>+$W$55</f>
        <v>0</v>
      </c>
      <c r="Y62" s="20">
        <f>IFERROR(VLOOKUP(X62,perdues_sense_aillar,2),)</f>
        <v>0</v>
      </c>
      <c r="Z62" s="35">
        <f t="shared" ref="Z62" si="13">+Y62*W62/1000</f>
        <v>0</v>
      </c>
      <c r="AB62" s="17">
        <v>15</v>
      </c>
      <c r="AC62" s="19" t="s">
        <v>22</v>
      </c>
      <c r="AD62" s="156">
        <f>+DADES_ALTER!Q43</f>
        <v>0</v>
      </c>
      <c r="AE62" s="30">
        <f>+$W$55</f>
        <v>0</v>
      </c>
      <c r="AF62" s="156">
        <f>+DADES_ALTER!R43</f>
        <v>0</v>
      </c>
      <c r="AG62" s="162" cm="1">
        <f t="array" ref="AG62">IFERROR(VLOOKUP(AB62,perdues_amb_aillament,_xlfn.IFS(AF62=20,3,AF62=25,4,AF62=30,5,AF62=35,6,AF62=40,7,AF62=45,8,AF62=50,9,AF62=55,10)),)</f>
        <v>0</v>
      </c>
      <c r="AH62" s="30">
        <f>+AG62*AE62</f>
        <v>0</v>
      </c>
      <c r="AI62" s="35">
        <f>+AH62*AD62/1000</f>
        <v>0</v>
      </c>
      <c r="AJ62" s="160" cm="1">
        <f t="array" ref="AJ62">IFERROR(VLOOKUP(AB62,cost_aillament,_xlfn.IFS(AF62=20,3,AF62=25,4,AF62=30,5,AF62=35,6,AF62=40,7,AF62=45,8,AF62=50,9,AF62=55,10))*1.3,)</f>
        <v>0</v>
      </c>
      <c r="AK62" s="160">
        <f>+AJ62*AD62</f>
        <v>0</v>
      </c>
      <c r="AL62" s="198"/>
      <c r="AM62" s="576"/>
      <c r="AN62" s="17">
        <v>15</v>
      </c>
      <c r="AO62" s="19" t="s">
        <v>22</v>
      </c>
      <c r="AP62" s="156">
        <f>+DADES_ALTER!Z43</f>
        <v>0</v>
      </c>
      <c r="AQ62" s="30">
        <f>+$AP$55</f>
        <v>0</v>
      </c>
      <c r="AR62" s="20">
        <f>IFERROR(VLOOKUP(AQ62,perdues_sense_aillar,2),)</f>
        <v>0</v>
      </c>
      <c r="AS62" s="35">
        <f t="shared" ref="AS62" si="14">+AR62*AP62/1000</f>
        <v>0</v>
      </c>
      <c r="AU62" s="17">
        <v>15</v>
      </c>
      <c r="AV62" s="19" t="s">
        <v>22</v>
      </c>
      <c r="AW62" s="156">
        <f>+DADES_ALTER!AB43</f>
        <v>0</v>
      </c>
      <c r="AX62" s="30">
        <f>+$AP$55</f>
        <v>0</v>
      </c>
      <c r="AY62" s="156">
        <f>+DADES_ALTER!AC43</f>
        <v>0</v>
      </c>
      <c r="AZ62" s="162" cm="1">
        <f t="array" ref="AZ62">IFERROR(VLOOKUP(AU62,perdues_amb_aillament,_xlfn.IFS(AY62=20,3,AY62=25,4,AY62=30,5,AY62=35,6,AY62=40,7,AY62=45,8,AY62=50,9,AY62=55,10)),)</f>
        <v>0</v>
      </c>
      <c r="BA62" s="30">
        <f>+AZ62*AX62</f>
        <v>0</v>
      </c>
      <c r="BB62" s="35">
        <f>+BA62*AW62/1000</f>
        <v>0</v>
      </c>
      <c r="BC62" s="160" cm="1">
        <f t="array" ref="BC62">IFERROR(VLOOKUP(AU62,cost_aillament,_xlfn.IFS(AY62=20,3,AY62=25,4,AY62=30,5,AY62=35,6,AY62=40,7,AY62=45,8,AY62=50,9,AY62=55,10))*1.3,)</f>
        <v>0</v>
      </c>
      <c r="BD62" s="160">
        <f>+BC62*AW62</f>
        <v>0</v>
      </c>
      <c r="BE62" s="198"/>
    </row>
    <row r="63" spans="1:57">
      <c r="A63" s="576"/>
      <c r="B63" s="17">
        <v>22</v>
      </c>
      <c r="C63" s="21" t="s">
        <v>23</v>
      </c>
      <c r="D63" s="156">
        <f>+DADES_ALTER!D44</f>
        <v>0</v>
      </c>
      <c r="E63" s="30">
        <f t="shared" ref="E63:E71" si="15">+$D$55</f>
        <v>0</v>
      </c>
      <c r="F63" s="17">
        <f>IFERROR(VLOOKUP(E63,perdues_sense_aillar,3),)</f>
        <v>0</v>
      </c>
      <c r="G63" s="35">
        <f>+F63*D63/1000</f>
        <v>0</v>
      </c>
      <c r="I63" s="17">
        <v>22</v>
      </c>
      <c r="J63" s="21" t="s">
        <v>23</v>
      </c>
      <c r="K63" s="156">
        <f>+DADES_ALTER!F44</f>
        <v>0</v>
      </c>
      <c r="L63" s="30">
        <f t="shared" ref="L63:L71" si="16">+$D$55</f>
        <v>0</v>
      </c>
      <c r="M63" s="156">
        <f>+DADES_ALTER!G44</f>
        <v>0</v>
      </c>
      <c r="N63" s="162" cm="1">
        <f t="array" ref="N63">IFERROR(VLOOKUP(I63,perdues_amb_aillament,_xlfn.IFS(M63=20,3,M63=25,4,M63=30,5,M63=35,6,M63=40,7,M63=45,8,M63=50,9,M63=55,10)),)</f>
        <v>0</v>
      </c>
      <c r="O63" s="30">
        <f t="shared" ref="O63:O71" si="17">+N63*L63</f>
        <v>0</v>
      </c>
      <c r="P63" s="35">
        <f t="shared" ref="P63:P71" si="18">+O63*K63/1000</f>
        <v>0</v>
      </c>
      <c r="Q63" s="160" cm="1">
        <f t="array" ref="Q63">IFERROR(VLOOKUP(I63,cost_aillament,_xlfn.IFS(M63=20,3,M63=25,4,M63=30,5,M63=35,6,M63=40,7,M63=45,8,M63=50,9,M63=55,10))*1.3,)</f>
        <v>0</v>
      </c>
      <c r="R63" s="160">
        <f t="shared" ref="R63:R71" si="19">+Q63*K63</f>
        <v>0</v>
      </c>
      <c r="S63" s="198"/>
      <c r="T63" s="576"/>
      <c r="U63" s="17">
        <v>22</v>
      </c>
      <c r="V63" s="21" t="s">
        <v>23</v>
      </c>
      <c r="W63" s="156">
        <f>+DADES_ALTER!O44</f>
        <v>0</v>
      </c>
      <c r="X63" s="30">
        <f t="shared" ref="X63:X71" si="20">+$W$55</f>
        <v>0</v>
      </c>
      <c r="Y63" s="17">
        <f>IFERROR(VLOOKUP(X63,perdues_sense_aillar,3),)</f>
        <v>0</v>
      </c>
      <c r="Z63" s="35">
        <f>+Y63*W63/1000</f>
        <v>0</v>
      </c>
      <c r="AB63" s="17">
        <v>22</v>
      </c>
      <c r="AC63" s="21" t="s">
        <v>23</v>
      </c>
      <c r="AD63" s="156">
        <f>+DADES_ALTER!Q44</f>
        <v>0</v>
      </c>
      <c r="AE63" s="30">
        <f t="shared" ref="AE63:AE71" si="21">+$W$55</f>
        <v>0</v>
      </c>
      <c r="AF63" s="156">
        <f>+DADES_ALTER!R44</f>
        <v>0</v>
      </c>
      <c r="AG63" s="162" cm="1">
        <f t="array" ref="AG63">IFERROR(VLOOKUP(AB63,perdues_amb_aillament,_xlfn.IFS(AF63=20,3,AF63=25,4,AF63=30,5,AF63=35,6,AF63=40,7,AF63=45,8,AF63=50,9,AF63=55,10)),)</f>
        <v>0</v>
      </c>
      <c r="AH63" s="30">
        <f t="shared" ref="AH63:AH71" si="22">+AG63*AE63</f>
        <v>0</v>
      </c>
      <c r="AI63" s="35">
        <f t="shared" ref="AI63:AI71" si="23">+AH63*AD63/1000</f>
        <v>0</v>
      </c>
      <c r="AJ63" s="160" cm="1">
        <f t="array" ref="AJ63">IFERROR(VLOOKUP(AB63,cost_aillament,_xlfn.IFS(AF63=20,3,AF63=25,4,AF63=30,5,AF63=35,6,AF63=40,7,AF63=45,8,AF63=50,9,AF63=55,10))*1.3,)</f>
        <v>0</v>
      </c>
      <c r="AK63" s="160">
        <f t="shared" ref="AK63:AK71" si="24">+AJ63*AD63</f>
        <v>0</v>
      </c>
      <c r="AL63" s="198"/>
      <c r="AM63" s="576"/>
      <c r="AN63" s="17">
        <v>22</v>
      </c>
      <c r="AO63" s="21" t="s">
        <v>23</v>
      </c>
      <c r="AP63" s="156">
        <f>+DADES_ALTER!Z44</f>
        <v>0</v>
      </c>
      <c r="AQ63" s="30">
        <f t="shared" ref="AQ63:AQ71" si="25">+$AP$55</f>
        <v>0</v>
      </c>
      <c r="AR63" s="17">
        <f>IFERROR(VLOOKUP(AQ63,perdues_sense_aillar,3),)</f>
        <v>0</v>
      </c>
      <c r="AS63" s="35">
        <f>+AR63*AP63/1000</f>
        <v>0</v>
      </c>
      <c r="AU63" s="17">
        <v>22</v>
      </c>
      <c r="AV63" s="21" t="s">
        <v>23</v>
      </c>
      <c r="AW63" s="156">
        <f>+DADES_ALTER!AB44</f>
        <v>0</v>
      </c>
      <c r="AX63" s="30">
        <f t="shared" ref="AX63:AX71" si="26">+$AP$55</f>
        <v>0</v>
      </c>
      <c r="AY63" s="156">
        <f>+DADES_ALTER!AC44</f>
        <v>0</v>
      </c>
      <c r="AZ63" s="162" cm="1">
        <f t="array" ref="AZ63">IFERROR(VLOOKUP(AU63,perdues_amb_aillament,_xlfn.IFS(AY63=20,3,AY63=25,4,AY63=30,5,AY63=35,6,AY63=40,7,AY63=45,8,AY63=50,9,AY63=55,10)),)</f>
        <v>0</v>
      </c>
      <c r="BA63" s="30">
        <f t="shared" ref="BA63:BA71" si="27">+AZ63*AX63</f>
        <v>0</v>
      </c>
      <c r="BB63" s="35">
        <f t="shared" ref="BB63:BB71" si="28">+BA63*AW63/1000</f>
        <v>0</v>
      </c>
      <c r="BC63" s="160" cm="1">
        <f t="array" ref="BC63">IFERROR(VLOOKUP(AU63,cost_aillament,_xlfn.IFS(AY63=20,3,AY63=25,4,AY63=30,5,AY63=35,6,AY63=40,7,AY63=45,8,AY63=50,9,AY63=55,10))*1.3,)</f>
        <v>0</v>
      </c>
      <c r="BD63" s="160">
        <f t="shared" ref="BD63:BD71" si="29">+BC63*AW63</f>
        <v>0</v>
      </c>
      <c r="BE63" s="198"/>
    </row>
    <row r="64" spans="1:57">
      <c r="A64" s="576"/>
      <c r="B64" s="17">
        <v>28</v>
      </c>
      <c r="C64" s="15">
        <v>1</v>
      </c>
      <c r="D64" s="156">
        <f>+DADES_ALTER!D45</f>
        <v>0</v>
      </c>
      <c r="E64" s="30">
        <f t="shared" si="15"/>
        <v>0</v>
      </c>
      <c r="F64" s="17">
        <f>IFERROR(VLOOKUP(E64,perdues_sense_aillar,4),)</f>
        <v>0</v>
      </c>
      <c r="G64" s="35">
        <f t="shared" ref="G64:G71" si="30">+F64*D64/1000</f>
        <v>0</v>
      </c>
      <c r="I64" s="17">
        <v>28</v>
      </c>
      <c r="J64" s="15">
        <v>1</v>
      </c>
      <c r="K64" s="156">
        <f>+DADES_ALTER!F45</f>
        <v>0</v>
      </c>
      <c r="L64" s="30">
        <f t="shared" si="16"/>
        <v>0</v>
      </c>
      <c r="M64" s="156">
        <f>+DADES_ALTER!G45</f>
        <v>0</v>
      </c>
      <c r="N64" s="162" cm="1">
        <f t="array" ref="N64">IFERROR(VLOOKUP(I64,perdues_amb_aillament,_xlfn.IFS(M64=20,3,M64=25,4,M64=30,5,M64=35,6,M64=40,7,M64=45,8,M64=50,9,M64=55,10)),)</f>
        <v>0</v>
      </c>
      <c r="O64" s="30">
        <f t="shared" si="17"/>
        <v>0</v>
      </c>
      <c r="P64" s="35">
        <f t="shared" si="18"/>
        <v>0</v>
      </c>
      <c r="Q64" s="160" cm="1">
        <f t="array" ref="Q64">IFERROR(VLOOKUP(I64,cost_aillament,_xlfn.IFS(M64=20,3,M64=25,4,M64=30,5,M64=35,6,M64=40,7,M64=45,8,M64=50,9,M64=55,10))*1.3,)</f>
        <v>0</v>
      </c>
      <c r="R64" s="160">
        <f t="shared" si="19"/>
        <v>0</v>
      </c>
      <c r="S64" s="198"/>
      <c r="T64" s="576"/>
      <c r="U64" s="17">
        <v>28</v>
      </c>
      <c r="V64" s="15">
        <v>1</v>
      </c>
      <c r="W64" s="156">
        <f>+DADES_ALTER!O45</f>
        <v>0</v>
      </c>
      <c r="X64" s="30">
        <f t="shared" si="20"/>
        <v>0</v>
      </c>
      <c r="Y64" s="17">
        <f>IFERROR(VLOOKUP(X64,perdues_sense_aillar,4),)</f>
        <v>0</v>
      </c>
      <c r="Z64" s="35">
        <f t="shared" ref="Z64:Z71" si="31">+Y64*W64/1000</f>
        <v>0</v>
      </c>
      <c r="AB64" s="17">
        <v>28</v>
      </c>
      <c r="AC64" s="15">
        <v>1</v>
      </c>
      <c r="AD64" s="156">
        <f>+DADES_ALTER!Q45</f>
        <v>0</v>
      </c>
      <c r="AE64" s="30">
        <f t="shared" si="21"/>
        <v>0</v>
      </c>
      <c r="AF64" s="156">
        <f>+DADES_ALTER!R45</f>
        <v>0</v>
      </c>
      <c r="AG64" s="162" cm="1">
        <f t="array" ref="AG64">IFERROR(VLOOKUP(AB64,perdues_amb_aillament,_xlfn.IFS(AF64=20,3,AF64=25,4,AF64=30,5,AF64=35,6,AF64=40,7,AF64=45,8,AF64=50,9,AF64=55,10)),)</f>
        <v>0</v>
      </c>
      <c r="AH64" s="30">
        <f t="shared" si="22"/>
        <v>0</v>
      </c>
      <c r="AI64" s="35">
        <f t="shared" si="23"/>
        <v>0</v>
      </c>
      <c r="AJ64" s="160" cm="1">
        <f t="array" ref="AJ64">IFERROR(VLOOKUP(AB64,cost_aillament,_xlfn.IFS(AF64=20,3,AF64=25,4,AF64=30,5,AF64=35,6,AF64=40,7,AF64=45,8,AF64=50,9,AF64=55,10))*1.3,)</f>
        <v>0</v>
      </c>
      <c r="AK64" s="160">
        <f t="shared" si="24"/>
        <v>0</v>
      </c>
      <c r="AL64" s="198"/>
      <c r="AM64" s="576"/>
      <c r="AN64" s="17">
        <v>28</v>
      </c>
      <c r="AO64" s="15">
        <v>1</v>
      </c>
      <c r="AP64" s="156">
        <f>+DADES_ALTER!Z45</f>
        <v>0</v>
      </c>
      <c r="AQ64" s="30">
        <f t="shared" si="25"/>
        <v>0</v>
      </c>
      <c r="AR64" s="17">
        <f>IFERROR(VLOOKUP(AQ64,perdues_sense_aillar,4),)</f>
        <v>0</v>
      </c>
      <c r="AS64" s="35">
        <f t="shared" ref="AS64:AS71" si="32">+AR64*AP64/1000</f>
        <v>0</v>
      </c>
      <c r="AU64" s="17">
        <v>28</v>
      </c>
      <c r="AV64" s="15">
        <v>1</v>
      </c>
      <c r="AW64" s="156">
        <f>+DADES_ALTER!AB45</f>
        <v>0</v>
      </c>
      <c r="AX64" s="30">
        <f t="shared" si="26"/>
        <v>0</v>
      </c>
      <c r="AY64" s="156">
        <f>+DADES_ALTER!AC45</f>
        <v>0</v>
      </c>
      <c r="AZ64" s="162" cm="1">
        <f t="array" ref="AZ64">IFERROR(VLOOKUP(AU64,perdues_amb_aillament,_xlfn.IFS(AY64=20,3,AY64=25,4,AY64=30,5,AY64=35,6,AY64=40,7,AY64=45,8,AY64=50,9,AY64=55,10)),)</f>
        <v>0</v>
      </c>
      <c r="BA64" s="30">
        <f t="shared" si="27"/>
        <v>0</v>
      </c>
      <c r="BB64" s="35">
        <f t="shared" si="28"/>
        <v>0</v>
      </c>
      <c r="BC64" s="160" cm="1">
        <f t="array" ref="BC64">IFERROR(VLOOKUP(AU64,cost_aillament,_xlfn.IFS(AY64=20,3,AY64=25,4,AY64=30,5,AY64=35,6,AY64=40,7,AY64=45,8,AY64=50,9,AY64=55,10))*1.3,)</f>
        <v>0</v>
      </c>
      <c r="BD64" s="160">
        <f t="shared" si="29"/>
        <v>0</v>
      </c>
      <c r="BE64" s="198"/>
    </row>
    <row r="65" spans="1:57">
      <c r="A65" s="576"/>
      <c r="B65" s="17">
        <v>35</v>
      </c>
      <c r="C65" s="22">
        <v>1.25</v>
      </c>
      <c r="D65" s="156">
        <f>+DADES_ALTER!D46</f>
        <v>0</v>
      </c>
      <c r="E65" s="30">
        <f t="shared" si="15"/>
        <v>0</v>
      </c>
      <c r="F65" s="17">
        <f>IFERROR(VLOOKUP(E65,perdues_sense_aillar,5),)</f>
        <v>0</v>
      </c>
      <c r="G65" s="35">
        <f t="shared" si="30"/>
        <v>0</v>
      </c>
      <c r="I65" s="17">
        <v>35</v>
      </c>
      <c r="J65" s="22">
        <v>1.25</v>
      </c>
      <c r="K65" s="156">
        <f>+DADES_ALTER!F46</f>
        <v>0</v>
      </c>
      <c r="L65" s="30">
        <f t="shared" si="16"/>
        <v>0</v>
      </c>
      <c r="M65" s="156">
        <f>+DADES_ALTER!G46</f>
        <v>0</v>
      </c>
      <c r="N65" s="162" cm="1">
        <f t="array" ref="N65">IFERROR(VLOOKUP(I65,perdues_amb_aillament,_xlfn.IFS(M65=20,3,M65=25,4,M65=30,5,M65=35,6,M65=40,7,M65=45,8,M65=50,9,M65=55,10)),)</f>
        <v>0</v>
      </c>
      <c r="O65" s="30">
        <f t="shared" si="17"/>
        <v>0</v>
      </c>
      <c r="P65" s="35">
        <f t="shared" si="18"/>
        <v>0</v>
      </c>
      <c r="Q65" s="160" cm="1">
        <f t="array" ref="Q65">IFERROR(VLOOKUP(I65,cost_aillament,_xlfn.IFS(M65=20,3,M65=25,4,M65=30,5,M65=35,6,M65=40,7,M65=45,8,M65=50,9,M65=55,10))*1.3,)</f>
        <v>0</v>
      </c>
      <c r="R65" s="160">
        <f t="shared" si="19"/>
        <v>0</v>
      </c>
      <c r="S65" s="198"/>
      <c r="T65" s="576"/>
      <c r="U65" s="17">
        <v>35</v>
      </c>
      <c r="V65" s="22">
        <v>1.25</v>
      </c>
      <c r="W65" s="156">
        <f>+DADES_ALTER!O46</f>
        <v>0</v>
      </c>
      <c r="X65" s="30">
        <f t="shared" si="20"/>
        <v>0</v>
      </c>
      <c r="Y65" s="17">
        <f>IFERROR(VLOOKUP(X65,perdues_sense_aillar,5),)</f>
        <v>0</v>
      </c>
      <c r="Z65" s="35">
        <f t="shared" si="31"/>
        <v>0</v>
      </c>
      <c r="AB65" s="17">
        <v>35</v>
      </c>
      <c r="AC65" s="22">
        <v>1.25</v>
      </c>
      <c r="AD65" s="156">
        <f>+DADES_ALTER!Q46</f>
        <v>0</v>
      </c>
      <c r="AE65" s="30">
        <f t="shared" si="21"/>
        <v>0</v>
      </c>
      <c r="AF65" s="156">
        <f>+DADES_ALTER!R46</f>
        <v>0</v>
      </c>
      <c r="AG65" s="162" cm="1">
        <f t="array" ref="AG65">IFERROR(VLOOKUP(AB65,perdues_amb_aillament,_xlfn.IFS(AF65=20,3,AF65=25,4,AF65=30,5,AF65=35,6,AF65=40,7,AF65=45,8,AF65=50,9,AF65=55,10)),)</f>
        <v>0</v>
      </c>
      <c r="AH65" s="30">
        <f t="shared" si="22"/>
        <v>0</v>
      </c>
      <c r="AI65" s="35">
        <f t="shared" si="23"/>
        <v>0</v>
      </c>
      <c r="AJ65" s="160" cm="1">
        <f t="array" ref="AJ65">IFERROR(VLOOKUP(AB65,cost_aillament,_xlfn.IFS(AF65=20,3,AF65=25,4,AF65=30,5,AF65=35,6,AF65=40,7,AF65=45,8,AF65=50,9,AF65=55,10))*1.3,)</f>
        <v>0</v>
      </c>
      <c r="AK65" s="160">
        <f t="shared" si="24"/>
        <v>0</v>
      </c>
      <c r="AL65" s="198"/>
      <c r="AM65" s="576"/>
      <c r="AN65" s="17">
        <v>35</v>
      </c>
      <c r="AO65" s="22">
        <v>1.25</v>
      </c>
      <c r="AP65" s="156">
        <f>+DADES_ALTER!Z46</f>
        <v>0</v>
      </c>
      <c r="AQ65" s="30">
        <f t="shared" si="25"/>
        <v>0</v>
      </c>
      <c r="AR65" s="17">
        <f>IFERROR(VLOOKUP(AQ65,perdues_sense_aillar,5),)</f>
        <v>0</v>
      </c>
      <c r="AS65" s="35">
        <f t="shared" si="32"/>
        <v>0</v>
      </c>
      <c r="AU65" s="17">
        <v>35</v>
      </c>
      <c r="AV65" s="22">
        <v>1.25</v>
      </c>
      <c r="AW65" s="156">
        <f>+DADES_ALTER!AB46</f>
        <v>0</v>
      </c>
      <c r="AX65" s="30">
        <f t="shared" si="26"/>
        <v>0</v>
      </c>
      <c r="AY65" s="156">
        <f>+DADES_ALTER!AC46</f>
        <v>0</v>
      </c>
      <c r="AZ65" s="162" cm="1">
        <f t="array" ref="AZ65">IFERROR(VLOOKUP(AU65,perdues_amb_aillament,_xlfn.IFS(AY65=20,3,AY65=25,4,AY65=30,5,AY65=35,6,AY65=40,7,AY65=45,8,AY65=50,9,AY65=55,10)),)</f>
        <v>0</v>
      </c>
      <c r="BA65" s="30">
        <f t="shared" si="27"/>
        <v>0</v>
      </c>
      <c r="BB65" s="35">
        <f t="shared" si="28"/>
        <v>0</v>
      </c>
      <c r="BC65" s="160" cm="1">
        <f t="array" ref="BC65">IFERROR(VLOOKUP(AU65,cost_aillament,_xlfn.IFS(AY65=20,3,AY65=25,4,AY65=30,5,AY65=35,6,AY65=40,7,AY65=45,8,AY65=50,9,AY65=55,10))*1.3,)</f>
        <v>0</v>
      </c>
      <c r="BD65" s="160">
        <f t="shared" si="29"/>
        <v>0</v>
      </c>
      <c r="BE65" s="198"/>
    </row>
    <row r="66" spans="1:57">
      <c r="A66" s="576"/>
      <c r="B66" s="17">
        <v>42</v>
      </c>
      <c r="C66" s="22">
        <v>1.5</v>
      </c>
      <c r="D66" s="156">
        <f>+DADES_ALTER!D47</f>
        <v>0</v>
      </c>
      <c r="E66" s="30">
        <f t="shared" si="15"/>
        <v>0</v>
      </c>
      <c r="F66" s="17">
        <f>IFERROR(VLOOKUP(E66,perdues_sense_aillar,6),)</f>
        <v>0</v>
      </c>
      <c r="G66" s="35">
        <f t="shared" si="30"/>
        <v>0</v>
      </c>
      <c r="I66" s="17">
        <v>42</v>
      </c>
      <c r="J66" s="22">
        <v>1.5</v>
      </c>
      <c r="K66" s="156">
        <f>+DADES_ALTER!F47</f>
        <v>0</v>
      </c>
      <c r="L66" s="30">
        <f t="shared" si="16"/>
        <v>0</v>
      </c>
      <c r="M66" s="156">
        <f>+DADES_ALTER!G47</f>
        <v>0</v>
      </c>
      <c r="N66" s="162" cm="1">
        <f t="array" ref="N66">IFERROR(VLOOKUP(I66,perdues_amb_aillament,_xlfn.IFS(M66=20,3,M66=25,4,M66=30,5,M66=35,6,M66=40,7,M66=45,8,M66=50,9,M66=55,10)),)</f>
        <v>0</v>
      </c>
      <c r="O66" s="30">
        <f t="shared" si="17"/>
        <v>0</v>
      </c>
      <c r="P66" s="35">
        <f t="shared" si="18"/>
        <v>0</v>
      </c>
      <c r="Q66" s="160" cm="1">
        <f t="array" ref="Q66">IFERROR(VLOOKUP(I66,cost_aillament,_xlfn.IFS(M66=20,3,M66=25,4,M66=30,5,M66=35,6,M66=40,7,M66=45,8,M66=50,9,M66=55,10))*1.3,)</f>
        <v>0</v>
      </c>
      <c r="R66" s="160">
        <f t="shared" si="19"/>
        <v>0</v>
      </c>
      <c r="S66" s="198"/>
      <c r="T66" s="576"/>
      <c r="U66" s="17">
        <v>42</v>
      </c>
      <c r="V66" s="22">
        <v>1.5</v>
      </c>
      <c r="W66" s="156">
        <f>+DADES_ALTER!O47</f>
        <v>0</v>
      </c>
      <c r="X66" s="30">
        <f t="shared" si="20"/>
        <v>0</v>
      </c>
      <c r="Y66" s="17">
        <f>IFERROR(VLOOKUP(X66,perdues_sense_aillar,6),)</f>
        <v>0</v>
      </c>
      <c r="Z66" s="35">
        <f t="shared" si="31"/>
        <v>0</v>
      </c>
      <c r="AB66" s="17">
        <v>42</v>
      </c>
      <c r="AC66" s="22">
        <v>1.5</v>
      </c>
      <c r="AD66" s="156">
        <f>+DADES_ALTER!Q47</f>
        <v>0</v>
      </c>
      <c r="AE66" s="30">
        <f t="shared" si="21"/>
        <v>0</v>
      </c>
      <c r="AF66" s="156">
        <f>+DADES_ALTER!R47</f>
        <v>0</v>
      </c>
      <c r="AG66" s="162" cm="1">
        <f t="array" ref="AG66">IFERROR(VLOOKUP(AB66,perdues_amb_aillament,_xlfn.IFS(AF66=20,3,AF66=25,4,AF66=30,5,AF66=35,6,AF66=40,7,AF66=45,8,AF66=50,9,AF66=55,10)),)</f>
        <v>0</v>
      </c>
      <c r="AH66" s="30">
        <f t="shared" si="22"/>
        <v>0</v>
      </c>
      <c r="AI66" s="35">
        <f t="shared" si="23"/>
        <v>0</v>
      </c>
      <c r="AJ66" s="160" cm="1">
        <f t="array" ref="AJ66">IFERROR(VLOOKUP(AB66,cost_aillament,_xlfn.IFS(AF66=20,3,AF66=25,4,AF66=30,5,AF66=35,6,AF66=40,7,AF66=45,8,AF66=50,9,AF66=55,10))*1.3,)</f>
        <v>0</v>
      </c>
      <c r="AK66" s="160">
        <f t="shared" si="24"/>
        <v>0</v>
      </c>
      <c r="AL66" s="198"/>
      <c r="AM66" s="576"/>
      <c r="AN66" s="17">
        <v>42</v>
      </c>
      <c r="AO66" s="22">
        <v>1.5</v>
      </c>
      <c r="AP66" s="156">
        <f>+DADES_ALTER!Z47</f>
        <v>0</v>
      </c>
      <c r="AQ66" s="30">
        <f t="shared" si="25"/>
        <v>0</v>
      </c>
      <c r="AR66" s="17">
        <f>IFERROR(VLOOKUP(AQ66,perdues_sense_aillar,6),)</f>
        <v>0</v>
      </c>
      <c r="AS66" s="35">
        <f t="shared" si="32"/>
        <v>0</v>
      </c>
      <c r="AU66" s="17">
        <v>42</v>
      </c>
      <c r="AV66" s="22">
        <v>1.5</v>
      </c>
      <c r="AW66" s="156">
        <f>+DADES_ALTER!AB47</f>
        <v>0</v>
      </c>
      <c r="AX66" s="30">
        <f t="shared" si="26"/>
        <v>0</v>
      </c>
      <c r="AY66" s="156">
        <f>+DADES_ALTER!AC47</f>
        <v>0</v>
      </c>
      <c r="AZ66" s="162" cm="1">
        <f t="array" ref="AZ66">IFERROR(VLOOKUP(AU66,perdues_amb_aillament,_xlfn.IFS(AY66=20,3,AY66=25,4,AY66=30,5,AY66=35,6,AY66=40,7,AY66=45,8,AY66=50,9,AY66=55,10)),)</f>
        <v>0</v>
      </c>
      <c r="BA66" s="30">
        <f t="shared" si="27"/>
        <v>0</v>
      </c>
      <c r="BB66" s="35">
        <f t="shared" si="28"/>
        <v>0</v>
      </c>
      <c r="BC66" s="160" cm="1">
        <f t="array" ref="BC66">IFERROR(VLOOKUP(AU66,cost_aillament,_xlfn.IFS(AY66=20,3,AY66=25,4,AY66=30,5,AY66=35,6,AY66=40,7,AY66=45,8,AY66=50,9,AY66=55,10))*1.3,)</f>
        <v>0</v>
      </c>
      <c r="BD66" s="160">
        <f t="shared" si="29"/>
        <v>0</v>
      </c>
      <c r="BE66" s="198"/>
    </row>
    <row r="67" spans="1:57">
      <c r="A67" s="576"/>
      <c r="B67" s="17">
        <v>48</v>
      </c>
      <c r="C67" s="15">
        <v>2</v>
      </c>
      <c r="D67" s="156">
        <f>+DADES_ALTER!D48</f>
        <v>0</v>
      </c>
      <c r="E67" s="30">
        <f t="shared" si="15"/>
        <v>0</v>
      </c>
      <c r="F67" s="17">
        <f>IFERROR(VLOOKUP(E67,perdues_sense_aillar,7),)</f>
        <v>0</v>
      </c>
      <c r="G67" s="35">
        <f t="shared" si="30"/>
        <v>0</v>
      </c>
      <c r="I67" s="17">
        <v>48</v>
      </c>
      <c r="J67" s="15">
        <v>2</v>
      </c>
      <c r="K67" s="156">
        <f>+DADES_ALTER!F48</f>
        <v>0</v>
      </c>
      <c r="L67" s="30">
        <f t="shared" si="16"/>
        <v>0</v>
      </c>
      <c r="M67" s="156">
        <f>+DADES_ALTER!G48</f>
        <v>0</v>
      </c>
      <c r="N67" s="162" cm="1">
        <f t="array" ref="N67">IFERROR(VLOOKUP(I67,perdues_amb_aillament,_xlfn.IFS(M67=20,3,M67=25,4,M67=30,5,M67=35,6,M67=40,7,M67=45,8,M67=50,9,M67=55,10)),)</f>
        <v>0</v>
      </c>
      <c r="O67" s="30">
        <f t="shared" si="17"/>
        <v>0</v>
      </c>
      <c r="P67" s="35">
        <f t="shared" si="18"/>
        <v>0</v>
      </c>
      <c r="Q67" s="160" cm="1">
        <f t="array" ref="Q67">IFERROR(VLOOKUP(I67,cost_aillament,_xlfn.IFS(M67=20,3,M67=25,4,M67=30,5,M67=35,6,M67=40,7,M67=45,8,M67=50,9,M67=55,10))*1.3,)</f>
        <v>0</v>
      </c>
      <c r="R67" s="160">
        <f t="shared" si="19"/>
        <v>0</v>
      </c>
      <c r="S67" s="198"/>
      <c r="T67" s="576"/>
      <c r="U67" s="17">
        <v>48</v>
      </c>
      <c r="V67" s="15">
        <v>2</v>
      </c>
      <c r="W67" s="156">
        <f>+DADES_ALTER!O48</f>
        <v>0</v>
      </c>
      <c r="X67" s="30">
        <f t="shared" si="20"/>
        <v>0</v>
      </c>
      <c r="Y67" s="17">
        <f>IFERROR(VLOOKUP(X67,perdues_sense_aillar,7),)</f>
        <v>0</v>
      </c>
      <c r="Z67" s="35">
        <f t="shared" si="31"/>
        <v>0</v>
      </c>
      <c r="AB67" s="17">
        <v>48</v>
      </c>
      <c r="AC67" s="15">
        <v>2</v>
      </c>
      <c r="AD67" s="156">
        <f>+DADES_ALTER!Q48</f>
        <v>0</v>
      </c>
      <c r="AE67" s="30">
        <f t="shared" si="21"/>
        <v>0</v>
      </c>
      <c r="AF67" s="156">
        <f>+DADES_ALTER!R48</f>
        <v>0</v>
      </c>
      <c r="AG67" s="162" cm="1">
        <f t="array" ref="AG67">IFERROR(VLOOKUP(AB67,perdues_amb_aillament,_xlfn.IFS(AF67=20,3,AF67=25,4,AF67=30,5,AF67=35,6,AF67=40,7,AF67=45,8,AF67=50,9,AF67=55,10)),)</f>
        <v>0</v>
      </c>
      <c r="AH67" s="30">
        <f t="shared" si="22"/>
        <v>0</v>
      </c>
      <c r="AI67" s="35">
        <f t="shared" si="23"/>
        <v>0</v>
      </c>
      <c r="AJ67" s="160" cm="1">
        <f t="array" ref="AJ67">IFERROR(VLOOKUP(AB67,cost_aillament,_xlfn.IFS(AF67=20,3,AF67=25,4,AF67=30,5,AF67=35,6,AF67=40,7,AF67=45,8,AF67=50,9,AF67=55,10))*1.3,)</f>
        <v>0</v>
      </c>
      <c r="AK67" s="160">
        <f t="shared" si="24"/>
        <v>0</v>
      </c>
      <c r="AL67" s="198"/>
      <c r="AM67" s="576"/>
      <c r="AN67" s="17">
        <v>48</v>
      </c>
      <c r="AO67" s="15">
        <v>2</v>
      </c>
      <c r="AP67" s="156">
        <f>+DADES_ALTER!Z48</f>
        <v>0</v>
      </c>
      <c r="AQ67" s="30">
        <f t="shared" si="25"/>
        <v>0</v>
      </c>
      <c r="AR67" s="17">
        <f>IFERROR(VLOOKUP(AQ67,perdues_sense_aillar,7),)</f>
        <v>0</v>
      </c>
      <c r="AS67" s="35">
        <f t="shared" si="32"/>
        <v>0</v>
      </c>
      <c r="AU67" s="17">
        <v>48</v>
      </c>
      <c r="AV67" s="15">
        <v>2</v>
      </c>
      <c r="AW67" s="156">
        <f>+DADES_ALTER!AB48</f>
        <v>0</v>
      </c>
      <c r="AX67" s="30">
        <f t="shared" si="26"/>
        <v>0</v>
      </c>
      <c r="AY67" s="156">
        <f>+DADES_ALTER!AC48</f>
        <v>0</v>
      </c>
      <c r="AZ67" s="162" cm="1">
        <f t="array" ref="AZ67">IFERROR(VLOOKUP(AU67,perdues_amb_aillament,_xlfn.IFS(AY67=20,3,AY67=25,4,AY67=30,5,AY67=35,6,AY67=40,7,AY67=45,8,AY67=50,9,AY67=55,10)),)</f>
        <v>0</v>
      </c>
      <c r="BA67" s="30">
        <f t="shared" si="27"/>
        <v>0</v>
      </c>
      <c r="BB67" s="35">
        <f t="shared" si="28"/>
        <v>0</v>
      </c>
      <c r="BC67" s="160" cm="1">
        <f t="array" ref="BC67">IFERROR(VLOOKUP(AU67,cost_aillament,_xlfn.IFS(AY67=20,3,AY67=25,4,AY67=30,5,AY67=35,6,AY67=40,7,AY67=45,8,AY67=50,9,AY67=55,10))*1.3,)</f>
        <v>0</v>
      </c>
      <c r="BD67" s="160">
        <f t="shared" si="29"/>
        <v>0</v>
      </c>
      <c r="BE67" s="198"/>
    </row>
    <row r="68" spans="1:57">
      <c r="A68" s="576"/>
      <c r="B68" s="17">
        <v>54</v>
      </c>
      <c r="C68" s="15">
        <v>2</v>
      </c>
      <c r="D68" s="156">
        <f>+DADES_ALTER!D49</f>
        <v>0</v>
      </c>
      <c r="E68" s="30">
        <f t="shared" si="15"/>
        <v>0</v>
      </c>
      <c r="F68" s="17">
        <f>IFERROR(VLOOKUP(E68,perdues_sense_aillar,7),)</f>
        <v>0</v>
      </c>
      <c r="G68" s="35">
        <f t="shared" si="30"/>
        <v>0</v>
      </c>
      <c r="I68" s="17">
        <v>54</v>
      </c>
      <c r="J68" s="15">
        <v>2</v>
      </c>
      <c r="K68" s="156">
        <f>+DADES_ALTER!F49</f>
        <v>0</v>
      </c>
      <c r="L68" s="30">
        <f t="shared" si="16"/>
        <v>0</v>
      </c>
      <c r="M68" s="156">
        <f>+DADES_ALTER!G49</f>
        <v>0</v>
      </c>
      <c r="N68" s="162" cm="1">
        <f t="array" ref="N68">IFERROR(VLOOKUP(I68,perdues_amb_aillament,_xlfn.IFS(M68=20,3,M68=25,4,M68=30,5,M68=35,6,M68=40,7,M68=45,8,M68=50,9,M68=55,10)),)</f>
        <v>0</v>
      </c>
      <c r="O68" s="30">
        <f t="shared" si="17"/>
        <v>0</v>
      </c>
      <c r="P68" s="35">
        <f t="shared" si="18"/>
        <v>0</v>
      </c>
      <c r="Q68" s="160" cm="1">
        <f t="array" ref="Q68">IFERROR(VLOOKUP(I68,cost_aillament,_xlfn.IFS(M68=20,3,M68=25,4,M68=30,5,M68=35,6,M68=40,7,M68=45,8,M68=50,9,M68=55,10))*1.3,)</f>
        <v>0</v>
      </c>
      <c r="R68" s="160">
        <f t="shared" si="19"/>
        <v>0</v>
      </c>
      <c r="S68" s="198"/>
      <c r="T68" s="576"/>
      <c r="U68" s="17">
        <v>54</v>
      </c>
      <c r="V68" s="15">
        <v>2</v>
      </c>
      <c r="W68" s="156">
        <f>+DADES_ALTER!O49</f>
        <v>0</v>
      </c>
      <c r="X68" s="30">
        <f t="shared" si="20"/>
        <v>0</v>
      </c>
      <c r="Y68" s="17">
        <f>IFERROR(VLOOKUP(X68,perdues_sense_aillar,7),)</f>
        <v>0</v>
      </c>
      <c r="Z68" s="35">
        <f t="shared" si="31"/>
        <v>0</v>
      </c>
      <c r="AB68" s="17">
        <v>54</v>
      </c>
      <c r="AC68" s="15">
        <v>2</v>
      </c>
      <c r="AD68" s="156">
        <f>+DADES_ALTER!Q49</f>
        <v>0</v>
      </c>
      <c r="AE68" s="30">
        <f t="shared" si="21"/>
        <v>0</v>
      </c>
      <c r="AF68" s="156">
        <f>+DADES_ALTER!R49</f>
        <v>0</v>
      </c>
      <c r="AG68" s="162" cm="1">
        <f t="array" ref="AG68">IFERROR(VLOOKUP(AB68,perdues_amb_aillament,_xlfn.IFS(AF68=20,3,AF68=25,4,AF68=30,5,AF68=35,6,AF68=40,7,AF68=45,8,AF68=50,9,AF68=55,10)),)</f>
        <v>0</v>
      </c>
      <c r="AH68" s="30">
        <f t="shared" si="22"/>
        <v>0</v>
      </c>
      <c r="AI68" s="35">
        <f t="shared" si="23"/>
        <v>0</v>
      </c>
      <c r="AJ68" s="160" cm="1">
        <f t="array" ref="AJ68">IFERROR(VLOOKUP(AB68,cost_aillament,_xlfn.IFS(AF68=20,3,AF68=25,4,AF68=30,5,AF68=35,6,AF68=40,7,AF68=45,8,AF68=50,9,AF68=55,10))*1.3,)</f>
        <v>0</v>
      </c>
      <c r="AK68" s="160">
        <f t="shared" si="24"/>
        <v>0</v>
      </c>
      <c r="AL68" s="198"/>
      <c r="AM68" s="576"/>
      <c r="AN68" s="17">
        <v>54</v>
      </c>
      <c r="AO68" s="15">
        <v>2</v>
      </c>
      <c r="AP68" s="156">
        <f>+DADES_ALTER!Z49</f>
        <v>0</v>
      </c>
      <c r="AQ68" s="30">
        <f t="shared" si="25"/>
        <v>0</v>
      </c>
      <c r="AR68" s="17">
        <f>IFERROR(VLOOKUP(AQ68,perdues_sense_aillar,7),)</f>
        <v>0</v>
      </c>
      <c r="AS68" s="35">
        <f t="shared" si="32"/>
        <v>0</v>
      </c>
      <c r="AU68" s="17">
        <v>54</v>
      </c>
      <c r="AV68" s="15">
        <v>2</v>
      </c>
      <c r="AW68" s="156">
        <f>+DADES_ALTER!AB49</f>
        <v>0</v>
      </c>
      <c r="AX68" s="30">
        <f t="shared" si="26"/>
        <v>0</v>
      </c>
      <c r="AY68" s="156">
        <f>+DADES_ALTER!AC49</f>
        <v>0</v>
      </c>
      <c r="AZ68" s="162" cm="1">
        <f t="array" ref="AZ68">IFERROR(VLOOKUP(AU68,perdues_amb_aillament,_xlfn.IFS(AY68=20,3,AY68=25,4,AY68=30,5,AY68=35,6,AY68=40,7,AY68=45,8,AY68=50,9,AY68=55,10)),)</f>
        <v>0</v>
      </c>
      <c r="BA68" s="30">
        <f t="shared" si="27"/>
        <v>0</v>
      </c>
      <c r="BB68" s="35">
        <f t="shared" si="28"/>
        <v>0</v>
      </c>
      <c r="BC68" s="160" cm="1">
        <f t="array" ref="BC68">IFERROR(VLOOKUP(AU68,cost_aillament,_xlfn.IFS(AY68=20,3,AY68=25,4,AY68=30,5,AY68=35,6,AY68=40,7,AY68=45,8,AY68=50,9,AY68=55,10))*1.3,)</f>
        <v>0</v>
      </c>
      <c r="BD68" s="160">
        <f t="shared" si="29"/>
        <v>0</v>
      </c>
      <c r="BE68" s="198"/>
    </row>
    <row r="69" spans="1:57">
      <c r="A69" s="576"/>
      <c r="B69" s="17">
        <v>64</v>
      </c>
      <c r="C69" s="22">
        <v>2.5</v>
      </c>
      <c r="D69" s="156">
        <f>+DADES_ALTER!D50</f>
        <v>0</v>
      </c>
      <c r="E69" s="30">
        <f t="shared" si="15"/>
        <v>0</v>
      </c>
      <c r="F69" s="17">
        <f>IFERROR(VLOOKUP(E69,perdues_sense_aillar,8),)</f>
        <v>0</v>
      </c>
      <c r="G69" s="35">
        <f t="shared" si="30"/>
        <v>0</v>
      </c>
      <c r="I69" s="17">
        <v>64</v>
      </c>
      <c r="J69" s="22">
        <v>2.5</v>
      </c>
      <c r="K69" s="156">
        <f>+DADES_ALTER!F50</f>
        <v>0</v>
      </c>
      <c r="L69" s="30">
        <f t="shared" si="16"/>
        <v>0</v>
      </c>
      <c r="M69" s="156">
        <f>+DADES_ALTER!G50</f>
        <v>0</v>
      </c>
      <c r="N69" s="162" cm="1">
        <f t="array" ref="N69">IFERROR(VLOOKUP(I69,perdues_amb_aillament,_xlfn.IFS(M69=20,3,M69=25,4,M69=30,5,M69=35,6,M69=40,7,M69=45,8,M69=50,9,M69=55,10)),)</f>
        <v>0</v>
      </c>
      <c r="O69" s="30">
        <f t="shared" si="17"/>
        <v>0</v>
      </c>
      <c r="P69" s="35">
        <f t="shared" si="18"/>
        <v>0</v>
      </c>
      <c r="Q69" s="160" cm="1">
        <f t="array" ref="Q69">IFERROR(VLOOKUP(I69,cost_aillament,_xlfn.IFS(M69=20,3,M69=25,4,M69=30,5,M69=35,6,M69=40,7,M69=45,8,M69=50,9,M69=55,10))*1.3,)</f>
        <v>0</v>
      </c>
      <c r="R69" s="160">
        <f t="shared" si="19"/>
        <v>0</v>
      </c>
      <c r="S69" s="198"/>
      <c r="T69" s="576"/>
      <c r="U69" s="17">
        <v>64</v>
      </c>
      <c r="V69" s="22">
        <v>2.5</v>
      </c>
      <c r="W69" s="156">
        <f>+DADES_ALTER!O50</f>
        <v>0</v>
      </c>
      <c r="X69" s="30">
        <f t="shared" si="20"/>
        <v>0</v>
      </c>
      <c r="Y69" s="17">
        <f>IFERROR(VLOOKUP(X69,perdues_sense_aillar,8),)</f>
        <v>0</v>
      </c>
      <c r="Z69" s="35">
        <f t="shared" si="31"/>
        <v>0</v>
      </c>
      <c r="AB69" s="17">
        <v>64</v>
      </c>
      <c r="AC69" s="22">
        <v>2.5</v>
      </c>
      <c r="AD69" s="156">
        <f>+DADES_ALTER!Q50</f>
        <v>0</v>
      </c>
      <c r="AE69" s="30">
        <f t="shared" si="21"/>
        <v>0</v>
      </c>
      <c r="AF69" s="156">
        <f>+DADES_ALTER!R50</f>
        <v>0</v>
      </c>
      <c r="AG69" s="162" cm="1">
        <f t="array" ref="AG69">IFERROR(VLOOKUP(AB69,perdues_amb_aillament,_xlfn.IFS(AF69=20,3,AF69=25,4,AF69=30,5,AF69=35,6,AF69=40,7,AF69=45,8,AF69=50,9,AF69=55,10)),)</f>
        <v>0</v>
      </c>
      <c r="AH69" s="30">
        <f t="shared" si="22"/>
        <v>0</v>
      </c>
      <c r="AI69" s="35">
        <f t="shared" si="23"/>
        <v>0</v>
      </c>
      <c r="AJ69" s="160" cm="1">
        <f t="array" ref="AJ69">IFERROR(VLOOKUP(AB69,cost_aillament,_xlfn.IFS(AF69=20,3,AF69=25,4,AF69=30,5,AF69=35,6,AF69=40,7,AF69=45,8,AF69=50,9,AF69=55,10))*1.3,)</f>
        <v>0</v>
      </c>
      <c r="AK69" s="160">
        <f t="shared" si="24"/>
        <v>0</v>
      </c>
      <c r="AL69" s="198"/>
      <c r="AM69" s="576"/>
      <c r="AN69" s="17">
        <v>64</v>
      </c>
      <c r="AO69" s="22">
        <v>2.5</v>
      </c>
      <c r="AP69" s="156">
        <f>+DADES_ALTER!Z50</f>
        <v>0</v>
      </c>
      <c r="AQ69" s="30">
        <f t="shared" si="25"/>
        <v>0</v>
      </c>
      <c r="AR69" s="17">
        <f>IFERROR(VLOOKUP(AQ69,perdues_sense_aillar,8),)</f>
        <v>0</v>
      </c>
      <c r="AS69" s="35">
        <f t="shared" si="32"/>
        <v>0</v>
      </c>
      <c r="AU69" s="17">
        <v>64</v>
      </c>
      <c r="AV69" s="22">
        <v>2.5</v>
      </c>
      <c r="AW69" s="156">
        <f>+DADES_ALTER!AB50</f>
        <v>0</v>
      </c>
      <c r="AX69" s="30">
        <f t="shared" si="26"/>
        <v>0</v>
      </c>
      <c r="AY69" s="156">
        <f>+DADES_ALTER!AC50</f>
        <v>0</v>
      </c>
      <c r="AZ69" s="162" cm="1">
        <f t="array" ref="AZ69">IFERROR(VLOOKUP(AU69,perdues_amb_aillament,_xlfn.IFS(AY69=20,3,AY69=25,4,AY69=30,5,AY69=35,6,AY69=40,7,AY69=45,8,AY69=50,9,AY69=55,10)),)</f>
        <v>0</v>
      </c>
      <c r="BA69" s="30">
        <f t="shared" si="27"/>
        <v>0</v>
      </c>
      <c r="BB69" s="35">
        <f t="shared" si="28"/>
        <v>0</v>
      </c>
      <c r="BC69" s="160" cm="1">
        <f t="array" ref="BC69">IFERROR(VLOOKUP(AU69,cost_aillament,_xlfn.IFS(AY69=20,3,AY69=25,4,AY69=30,5,AY69=35,6,AY69=40,7,AY69=45,8,AY69=50,9,AY69=55,10))*1.3,)</f>
        <v>0</v>
      </c>
      <c r="BD69" s="160">
        <f t="shared" si="29"/>
        <v>0</v>
      </c>
      <c r="BE69" s="198"/>
    </row>
    <row r="70" spans="1:57">
      <c r="A70" s="576"/>
      <c r="B70" s="17">
        <v>80</v>
      </c>
      <c r="C70" s="15">
        <v>3</v>
      </c>
      <c r="D70" s="156">
        <f>+DADES_ALTER!D51</f>
        <v>0</v>
      </c>
      <c r="E70" s="30">
        <f t="shared" si="15"/>
        <v>0</v>
      </c>
      <c r="F70" s="17">
        <f>IFERROR(VLOOKUP(E70,perdues_sense_aillar,10),)</f>
        <v>0</v>
      </c>
      <c r="G70" s="35">
        <f t="shared" si="30"/>
        <v>0</v>
      </c>
      <c r="I70" s="17">
        <v>80</v>
      </c>
      <c r="J70" s="15">
        <v>3</v>
      </c>
      <c r="K70" s="156">
        <f>+DADES_ALTER!F51</f>
        <v>0</v>
      </c>
      <c r="L70" s="30">
        <f t="shared" si="16"/>
        <v>0</v>
      </c>
      <c r="M70" s="156">
        <f>+DADES_ALTER!G51</f>
        <v>0</v>
      </c>
      <c r="N70" s="162" cm="1">
        <f t="array" ref="N70">IFERROR(VLOOKUP(I70,perdues_amb_aillament,_xlfn.IFS(M70=20,3,M70=25,4,M70=30,5,M70=35,6,M70=40,7,M70=45,8,M70=50,9,M70=55,10)),)</f>
        <v>0</v>
      </c>
      <c r="O70" s="30">
        <f t="shared" si="17"/>
        <v>0</v>
      </c>
      <c r="P70" s="35">
        <f t="shared" si="18"/>
        <v>0</v>
      </c>
      <c r="Q70" s="160" cm="1">
        <f t="array" ref="Q70">IFERROR(VLOOKUP(I70,cost_aillament,_xlfn.IFS(M70=20,3,M70=25,4,M70=30,5,M70=35,6,M70=40,7,M70=45,8,M70=50,9,M70=55,10))*1.3,)</f>
        <v>0</v>
      </c>
      <c r="R70" s="160">
        <f t="shared" si="19"/>
        <v>0</v>
      </c>
      <c r="S70" s="198"/>
      <c r="T70" s="576"/>
      <c r="U70" s="17">
        <v>80</v>
      </c>
      <c r="V70" s="15">
        <v>3</v>
      </c>
      <c r="W70" s="156">
        <f>+DADES_ALTER!O51</f>
        <v>0</v>
      </c>
      <c r="X70" s="30">
        <f t="shared" si="20"/>
        <v>0</v>
      </c>
      <c r="Y70" s="17">
        <f>IFERROR(VLOOKUP(X70,perdues_sense_aillar,10),)</f>
        <v>0</v>
      </c>
      <c r="Z70" s="35">
        <f t="shared" si="31"/>
        <v>0</v>
      </c>
      <c r="AB70" s="17">
        <v>80</v>
      </c>
      <c r="AC70" s="15">
        <v>3</v>
      </c>
      <c r="AD70" s="156">
        <f>+DADES_ALTER!Q51</f>
        <v>0</v>
      </c>
      <c r="AE70" s="30">
        <f t="shared" si="21"/>
        <v>0</v>
      </c>
      <c r="AF70" s="156">
        <f>+DADES_ALTER!R51</f>
        <v>0</v>
      </c>
      <c r="AG70" s="162" cm="1">
        <f t="array" ref="AG70">IFERROR(VLOOKUP(AB70,perdues_amb_aillament,_xlfn.IFS(AF70=20,3,AF70=25,4,AF70=30,5,AF70=35,6,AF70=40,7,AF70=45,8,AF70=50,9,AF70=55,10)),)</f>
        <v>0</v>
      </c>
      <c r="AH70" s="30">
        <f t="shared" si="22"/>
        <v>0</v>
      </c>
      <c r="AI70" s="35">
        <f t="shared" si="23"/>
        <v>0</v>
      </c>
      <c r="AJ70" s="160" cm="1">
        <f t="array" ref="AJ70">IFERROR(VLOOKUP(AB70,cost_aillament,_xlfn.IFS(AF70=20,3,AF70=25,4,AF70=30,5,AF70=35,6,AF70=40,7,AF70=45,8,AF70=50,9,AF70=55,10))*1.3,)</f>
        <v>0</v>
      </c>
      <c r="AK70" s="160">
        <f t="shared" si="24"/>
        <v>0</v>
      </c>
      <c r="AL70" s="198"/>
      <c r="AM70" s="576"/>
      <c r="AN70" s="17">
        <v>80</v>
      </c>
      <c r="AO70" s="15">
        <v>3</v>
      </c>
      <c r="AP70" s="156">
        <f>+DADES_ALTER!Z51</f>
        <v>0</v>
      </c>
      <c r="AQ70" s="30">
        <f t="shared" si="25"/>
        <v>0</v>
      </c>
      <c r="AR70" s="17">
        <f>IFERROR(VLOOKUP(AQ70,perdues_sense_aillar,10),)</f>
        <v>0</v>
      </c>
      <c r="AS70" s="35">
        <f t="shared" si="32"/>
        <v>0</v>
      </c>
      <c r="AU70" s="17">
        <v>80</v>
      </c>
      <c r="AV70" s="15">
        <v>3</v>
      </c>
      <c r="AW70" s="156">
        <f>+DADES_ALTER!AB51</f>
        <v>0</v>
      </c>
      <c r="AX70" s="30">
        <f t="shared" si="26"/>
        <v>0</v>
      </c>
      <c r="AY70" s="156">
        <f>+DADES_ALTER!AC51</f>
        <v>0</v>
      </c>
      <c r="AZ70" s="162" cm="1">
        <f t="array" ref="AZ70">IFERROR(VLOOKUP(AU70,perdues_amb_aillament,_xlfn.IFS(AY70=20,3,AY70=25,4,AY70=30,5,AY70=35,6,AY70=40,7,AY70=45,8,AY70=50,9,AY70=55,10)),)</f>
        <v>0</v>
      </c>
      <c r="BA70" s="30">
        <f t="shared" si="27"/>
        <v>0</v>
      </c>
      <c r="BB70" s="35">
        <f t="shared" si="28"/>
        <v>0</v>
      </c>
      <c r="BC70" s="160" cm="1">
        <f t="array" ref="BC70">IFERROR(VLOOKUP(AU70,cost_aillament,_xlfn.IFS(AY70=20,3,AY70=25,4,AY70=30,5,AY70=35,6,AY70=40,7,AY70=45,8,AY70=50,9,AY70=55,10))*1.3,)</f>
        <v>0</v>
      </c>
      <c r="BD70" s="160">
        <f t="shared" si="29"/>
        <v>0</v>
      </c>
      <c r="BE70" s="198"/>
    </row>
    <row r="71" spans="1:57">
      <c r="A71" s="576"/>
      <c r="B71" s="17">
        <v>100</v>
      </c>
      <c r="C71" s="15">
        <v>4</v>
      </c>
      <c r="D71" s="156">
        <f>+DADES_ALTER!D52</f>
        <v>0</v>
      </c>
      <c r="E71" s="30">
        <f t="shared" si="15"/>
        <v>0</v>
      </c>
      <c r="F71" s="17">
        <f>IFERROR(VLOOKUP(E71,perdues_sense_aillar,11),)</f>
        <v>0</v>
      </c>
      <c r="G71" s="35">
        <f t="shared" si="30"/>
        <v>0</v>
      </c>
      <c r="I71" s="17">
        <v>100</v>
      </c>
      <c r="J71" s="15">
        <v>4</v>
      </c>
      <c r="K71" s="156">
        <f>+DADES_ALTER!F52</f>
        <v>0</v>
      </c>
      <c r="L71" s="30">
        <f t="shared" si="16"/>
        <v>0</v>
      </c>
      <c r="M71" s="156">
        <f>+DADES_ALTER!G52</f>
        <v>0</v>
      </c>
      <c r="N71" s="162" cm="1">
        <f t="array" ref="N71">IFERROR(VLOOKUP(I71,perdues_amb_aillament,_xlfn.IFS(M71=20,3,M71=25,4,M71=30,5,M71=35,6,M71=40,7,M71=45,8,M71=50,9,M71=55,10)),)</f>
        <v>0</v>
      </c>
      <c r="O71" s="30">
        <f t="shared" si="17"/>
        <v>0</v>
      </c>
      <c r="P71" s="35">
        <f t="shared" si="18"/>
        <v>0</v>
      </c>
      <c r="Q71" s="160" cm="1">
        <f t="array" ref="Q71">IFERROR(VLOOKUP(I71,cost_aillament,_xlfn.IFS(M71=20,3,M71=25,4,M71=30,5,M71=35,6,M71=40,7,M71=45,8,M71=50,9,M71=55,10))*1.3,)</f>
        <v>0</v>
      </c>
      <c r="R71" s="160">
        <f t="shared" si="19"/>
        <v>0</v>
      </c>
      <c r="S71" s="198"/>
      <c r="T71" s="576"/>
      <c r="U71" s="17">
        <v>100</v>
      </c>
      <c r="V71" s="15">
        <v>4</v>
      </c>
      <c r="W71" s="156">
        <f>+DADES_ALTER!O52</f>
        <v>0</v>
      </c>
      <c r="X71" s="30">
        <f t="shared" si="20"/>
        <v>0</v>
      </c>
      <c r="Y71" s="17">
        <f>IFERROR(VLOOKUP(X71,perdues_sense_aillar,11),)</f>
        <v>0</v>
      </c>
      <c r="Z71" s="35">
        <f t="shared" si="31"/>
        <v>0</v>
      </c>
      <c r="AB71" s="17">
        <v>100</v>
      </c>
      <c r="AC71" s="15">
        <v>4</v>
      </c>
      <c r="AD71" s="156">
        <f>+DADES_ALTER!Q52</f>
        <v>0</v>
      </c>
      <c r="AE71" s="30">
        <f t="shared" si="21"/>
        <v>0</v>
      </c>
      <c r="AF71" s="156">
        <f>+DADES_ALTER!R52</f>
        <v>0</v>
      </c>
      <c r="AG71" s="162" cm="1">
        <f t="array" ref="AG71">IFERROR(VLOOKUP(AB71,perdues_amb_aillament,_xlfn.IFS(AF71=20,3,AF71=25,4,AF71=30,5,AF71=35,6,AF71=40,7,AF71=45,8,AF71=50,9,AF71=55,10)),)</f>
        <v>0</v>
      </c>
      <c r="AH71" s="30">
        <f t="shared" si="22"/>
        <v>0</v>
      </c>
      <c r="AI71" s="35">
        <f t="shared" si="23"/>
        <v>0</v>
      </c>
      <c r="AJ71" s="160" cm="1">
        <f t="array" ref="AJ71">IFERROR(VLOOKUP(AB71,cost_aillament,_xlfn.IFS(AF71=20,3,AF71=25,4,AF71=30,5,AF71=35,6,AF71=40,7,AF71=45,8,AF71=50,9,AF71=55,10))*1.3,)</f>
        <v>0</v>
      </c>
      <c r="AK71" s="160">
        <f t="shared" si="24"/>
        <v>0</v>
      </c>
      <c r="AL71" s="198"/>
      <c r="AM71" s="576"/>
      <c r="AN71" s="17">
        <v>100</v>
      </c>
      <c r="AO71" s="15">
        <v>4</v>
      </c>
      <c r="AP71" s="156">
        <f>+DADES_ALTER!Z52</f>
        <v>0</v>
      </c>
      <c r="AQ71" s="30">
        <f t="shared" si="25"/>
        <v>0</v>
      </c>
      <c r="AR71" s="17">
        <f>IFERROR(VLOOKUP(AQ71,perdues_sense_aillar,11),)</f>
        <v>0</v>
      </c>
      <c r="AS71" s="35">
        <f t="shared" si="32"/>
        <v>0</v>
      </c>
      <c r="AU71" s="17">
        <v>100</v>
      </c>
      <c r="AV71" s="15">
        <v>4</v>
      </c>
      <c r="AW71" s="156">
        <f>+DADES_ALTER!AB52</f>
        <v>0</v>
      </c>
      <c r="AX71" s="30">
        <f t="shared" si="26"/>
        <v>0</v>
      </c>
      <c r="AY71" s="156">
        <f>+DADES_ALTER!AC52</f>
        <v>0</v>
      </c>
      <c r="AZ71" s="162" cm="1">
        <f t="array" ref="AZ71">IFERROR(VLOOKUP(AU71,perdues_amb_aillament,_xlfn.IFS(AY71=20,3,AY71=25,4,AY71=30,5,AY71=35,6,AY71=40,7,AY71=45,8,AY71=50,9,AY71=55,10)),)</f>
        <v>0</v>
      </c>
      <c r="BA71" s="30">
        <f t="shared" si="27"/>
        <v>0</v>
      </c>
      <c r="BB71" s="35">
        <f t="shared" si="28"/>
        <v>0</v>
      </c>
      <c r="BC71" s="160" cm="1">
        <f t="array" ref="BC71">IFERROR(VLOOKUP(AU71,cost_aillament,_xlfn.IFS(AY71=20,3,AY71=25,4,AY71=30,5,AY71=35,6,AY71=40,7,AY71=45,8,AY71=50,9,AY71=55,10))*1.3,)</f>
        <v>0</v>
      </c>
      <c r="BD71" s="160">
        <f t="shared" si="29"/>
        <v>0</v>
      </c>
      <c r="BE71" s="198"/>
    </row>
    <row r="72" spans="1:57">
      <c r="A72" s="576"/>
      <c r="B72" s="11" t="s">
        <v>24</v>
      </c>
      <c r="C72" s="24"/>
      <c r="D72" s="17">
        <f>SUM(D62:D71)</f>
        <v>0</v>
      </c>
      <c r="E72" s="30">
        <f>IFERROR(SUMPRODUCT(D62:D71,E62:E71)/D72,AVERAGE(E62:E71))</f>
        <v>0</v>
      </c>
      <c r="F72" s="20" t="str">
        <f>IFERROR(G72*1000/D72,"-")</f>
        <v>-</v>
      </c>
      <c r="G72" s="35">
        <f>SUM(G62:G71)</f>
        <v>0</v>
      </c>
      <c r="I72" s="11" t="s">
        <v>24</v>
      </c>
      <c r="J72" s="24"/>
      <c r="K72" s="17">
        <f>SUM(K62:K71)</f>
        <v>0</v>
      </c>
      <c r="L72" s="30">
        <f>IFERROR(SUMPRODUCT(K62:K71,L62:L71)/K72,AVERAGE(L62:L71))</f>
        <v>0</v>
      </c>
      <c r="M72" s="11"/>
      <c r="N72" s="11"/>
      <c r="O72" s="30" t="str">
        <f>+IFERROR(P72*1000/K72,"-")</f>
        <v>-</v>
      </c>
      <c r="P72" s="35">
        <f>SUM(P62:P71)</f>
        <v>0</v>
      </c>
      <c r="Q72" s="160" t="str">
        <f>+IFERROR(R72/K72,"")</f>
        <v/>
      </c>
      <c r="R72" s="160">
        <f>SUM(R62:R71)</f>
        <v>0</v>
      </c>
      <c r="S72" s="198"/>
      <c r="T72" s="576"/>
      <c r="U72" s="11" t="s">
        <v>24</v>
      </c>
      <c r="V72" s="24"/>
      <c r="W72" s="17">
        <f>SUM(W62:W71)</f>
        <v>0</v>
      </c>
      <c r="X72" s="30">
        <f>IFERROR(SUMPRODUCT(W62:W71,X62:X71)/W72,AVERAGE(X62:X71))</f>
        <v>0</v>
      </c>
      <c r="Y72" s="20" t="str">
        <f>IFERROR(Z72*1000/W72,"-")</f>
        <v>-</v>
      </c>
      <c r="Z72" s="35">
        <f>SUM(Z62:Z71)</f>
        <v>0</v>
      </c>
      <c r="AB72" s="11" t="s">
        <v>24</v>
      </c>
      <c r="AC72" s="24"/>
      <c r="AD72" s="17">
        <f>SUM(AD62:AD71)</f>
        <v>0</v>
      </c>
      <c r="AE72" s="30">
        <f>IFERROR(SUMPRODUCT(AD62:AD71,AE62:AE71)/AD72,AVERAGE(AE62:AE71))</f>
        <v>0</v>
      </c>
      <c r="AF72" s="11"/>
      <c r="AG72" s="11"/>
      <c r="AH72" s="30" t="str">
        <f>+IFERROR(AI72*1000/AD72,"-")</f>
        <v>-</v>
      </c>
      <c r="AI72" s="35">
        <f>SUM(AI62:AI71)</f>
        <v>0</v>
      </c>
      <c r="AJ72" s="160" t="str">
        <f>+IFERROR(AK72/AD72,"")</f>
        <v/>
      </c>
      <c r="AK72" s="160">
        <f>SUM(AK62:AK71)</f>
        <v>0</v>
      </c>
      <c r="AL72" s="198"/>
      <c r="AM72" s="576"/>
      <c r="AN72" s="11" t="s">
        <v>24</v>
      </c>
      <c r="AO72" s="24"/>
      <c r="AP72" s="17">
        <f>SUM(AP62:AP71)</f>
        <v>0</v>
      </c>
      <c r="AQ72" s="30">
        <f>IFERROR(SUMPRODUCT(AP62:AP71,AQ62:AQ71)/AP72,AVERAGE(AQ62:AQ71))</f>
        <v>0</v>
      </c>
      <c r="AR72" s="20" t="str">
        <f>IFERROR(AS72*1000/AP72,"-")</f>
        <v>-</v>
      </c>
      <c r="AS72" s="35">
        <f>SUM(AS62:AS71)</f>
        <v>0</v>
      </c>
      <c r="AU72" s="11" t="s">
        <v>24</v>
      </c>
      <c r="AV72" s="24"/>
      <c r="AW72" s="17">
        <f>SUM(AW62:AW71)</f>
        <v>0</v>
      </c>
      <c r="AX72" s="30">
        <f>IFERROR(SUMPRODUCT(AW62:AW71,AX62:AX71)/AW72,AVERAGE(AX62:AX71))</f>
        <v>0</v>
      </c>
      <c r="AY72" s="11"/>
      <c r="AZ72" s="11"/>
      <c r="BA72" s="30" t="str">
        <f>+IFERROR(BB72*1000/AW72,"-")</f>
        <v>-</v>
      </c>
      <c r="BB72" s="35">
        <f>SUM(BB62:BB71)</f>
        <v>0</v>
      </c>
      <c r="BC72" s="160" t="str">
        <f>+IFERROR(BD72/AW72,"")</f>
        <v/>
      </c>
      <c r="BD72" s="160">
        <f>SUM(BD62:BD71)</f>
        <v>0</v>
      </c>
      <c r="BE72" s="198"/>
    </row>
    <row r="73" spans="1:57">
      <c r="S73" s="198"/>
      <c r="AL73" s="198"/>
      <c r="BE73" s="198"/>
    </row>
    <row r="74" spans="1:57">
      <c r="A74" s="577" t="s">
        <v>321</v>
      </c>
      <c r="B74" s="2" t="s">
        <v>312</v>
      </c>
      <c r="I74" s="2" t="s">
        <v>314</v>
      </c>
      <c r="S74" s="198"/>
      <c r="T74" s="577" t="s">
        <v>321</v>
      </c>
      <c r="U74" s="2" t="s">
        <v>312</v>
      </c>
      <c r="AB74" s="2" t="s">
        <v>314</v>
      </c>
      <c r="AL74" s="198"/>
      <c r="AM74" s="577" t="s">
        <v>321</v>
      </c>
      <c r="AN74" s="2" t="s">
        <v>312</v>
      </c>
      <c r="AU74" s="2" t="s">
        <v>314</v>
      </c>
      <c r="BE74" s="198"/>
    </row>
    <row r="75" spans="1:57" ht="43.2">
      <c r="A75" s="577"/>
      <c r="B75" s="13" t="s">
        <v>9</v>
      </c>
      <c r="C75" s="14"/>
      <c r="D75" s="15" t="s">
        <v>12</v>
      </c>
      <c r="E75" s="15" t="s">
        <v>13</v>
      </c>
      <c r="F75" s="15" t="s">
        <v>14</v>
      </c>
      <c r="G75" s="15" t="s">
        <v>15</v>
      </c>
      <c r="I75" s="13" t="s">
        <v>9</v>
      </c>
      <c r="J75" s="14"/>
      <c r="K75" s="15" t="s">
        <v>27</v>
      </c>
      <c r="L75" s="15" t="s">
        <v>13</v>
      </c>
      <c r="M75" s="15" t="s">
        <v>28</v>
      </c>
      <c r="N75" s="13" t="s">
        <v>29</v>
      </c>
      <c r="O75" s="28"/>
      <c r="P75" s="15" t="s">
        <v>15</v>
      </c>
      <c r="Q75" s="15" t="s">
        <v>39</v>
      </c>
      <c r="R75" s="15" t="s">
        <v>40</v>
      </c>
      <c r="S75" s="198"/>
      <c r="T75" s="577"/>
      <c r="U75" s="13" t="s">
        <v>9</v>
      </c>
      <c r="V75" s="14"/>
      <c r="W75" s="15" t="s">
        <v>12</v>
      </c>
      <c r="X75" s="15" t="s">
        <v>13</v>
      </c>
      <c r="Y75" s="15" t="s">
        <v>14</v>
      </c>
      <c r="Z75" s="15" t="s">
        <v>15</v>
      </c>
      <c r="AB75" s="13" t="s">
        <v>9</v>
      </c>
      <c r="AC75" s="14"/>
      <c r="AD75" s="15" t="s">
        <v>27</v>
      </c>
      <c r="AE75" s="15" t="s">
        <v>13</v>
      </c>
      <c r="AF75" s="15" t="s">
        <v>28</v>
      </c>
      <c r="AG75" s="13" t="s">
        <v>29</v>
      </c>
      <c r="AH75" s="28"/>
      <c r="AI75" s="15" t="s">
        <v>15</v>
      </c>
      <c r="AJ75" s="15" t="s">
        <v>39</v>
      </c>
      <c r="AK75" s="15" t="s">
        <v>40</v>
      </c>
      <c r="AL75" s="198"/>
      <c r="AM75" s="577"/>
      <c r="AN75" s="13" t="s">
        <v>9</v>
      </c>
      <c r="AO75" s="14"/>
      <c r="AP75" s="15" t="s">
        <v>12</v>
      </c>
      <c r="AQ75" s="15" t="s">
        <v>13</v>
      </c>
      <c r="AR75" s="15" t="s">
        <v>14</v>
      </c>
      <c r="AS75" s="15" t="s">
        <v>15</v>
      </c>
      <c r="AU75" s="13" t="s">
        <v>9</v>
      </c>
      <c r="AV75" s="14"/>
      <c r="AW75" s="15" t="s">
        <v>27</v>
      </c>
      <c r="AX75" s="15" t="s">
        <v>13</v>
      </c>
      <c r="AY75" s="15" t="s">
        <v>28</v>
      </c>
      <c r="AZ75" s="13" t="s">
        <v>29</v>
      </c>
      <c r="BA75" s="28"/>
      <c r="BB75" s="15" t="s">
        <v>15</v>
      </c>
      <c r="BC75" s="15" t="s">
        <v>39</v>
      </c>
      <c r="BD75" s="15" t="s">
        <v>40</v>
      </c>
      <c r="BE75" s="198"/>
    </row>
    <row r="76" spans="1:57">
      <c r="A76" s="577"/>
      <c r="B76" s="17" t="s">
        <v>16</v>
      </c>
      <c r="C76" s="17" t="s">
        <v>17</v>
      </c>
      <c r="D76" s="17" t="s">
        <v>18</v>
      </c>
      <c r="E76" s="17" t="s">
        <v>1</v>
      </c>
      <c r="F76" s="17" t="s">
        <v>19</v>
      </c>
      <c r="G76" s="17" t="s">
        <v>20</v>
      </c>
      <c r="I76" s="17" t="s">
        <v>16</v>
      </c>
      <c r="J76" s="17" t="s">
        <v>17</v>
      </c>
      <c r="K76" s="17" t="s">
        <v>18</v>
      </c>
      <c r="L76" s="17" t="s">
        <v>1</v>
      </c>
      <c r="M76" s="17" t="s">
        <v>16</v>
      </c>
      <c r="N76" s="17" t="s">
        <v>31</v>
      </c>
      <c r="O76" s="17" t="s">
        <v>19</v>
      </c>
      <c r="P76" s="17" t="s">
        <v>20</v>
      </c>
      <c r="Q76" s="17" t="s">
        <v>42</v>
      </c>
      <c r="R76" s="17" t="s">
        <v>43</v>
      </c>
      <c r="S76" s="198"/>
      <c r="T76" s="577"/>
      <c r="U76" s="17" t="s">
        <v>16</v>
      </c>
      <c r="V76" s="17" t="s">
        <v>17</v>
      </c>
      <c r="W76" s="17" t="s">
        <v>18</v>
      </c>
      <c r="X76" s="17" t="s">
        <v>1</v>
      </c>
      <c r="Y76" s="17" t="s">
        <v>19</v>
      </c>
      <c r="Z76" s="17" t="s">
        <v>20</v>
      </c>
      <c r="AB76" s="17" t="s">
        <v>16</v>
      </c>
      <c r="AC76" s="17" t="s">
        <v>17</v>
      </c>
      <c r="AD76" s="17" t="s">
        <v>18</v>
      </c>
      <c r="AE76" s="17" t="s">
        <v>1</v>
      </c>
      <c r="AF76" s="17" t="s">
        <v>16</v>
      </c>
      <c r="AG76" s="17" t="s">
        <v>31</v>
      </c>
      <c r="AH76" s="17" t="s">
        <v>19</v>
      </c>
      <c r="AI76" s="17" t="s">
        <v>20</v>
      </c>
      <c r="AJ76" s="17" t="s">
        <v>42</v>
      </c>
      <c r="AK76" s="17" t="s">
        <v>43</v>
      </c>
      <c r="AL76" s="198"/>
      <c r="AM76" s="577"/>
      <c r="AN76" s="17" t="s">
        <v>16</v>
      </c>
      <c r="AO76" s="17" t="s">
        <v>17</v>
      </c>
      <c r="AP76" s="17" t="s">
        <v>18</v>
      </c>
      <c r="AQ76" s="17" t="s">
        <v>1</v>
      </c>
      <c r="AR76" s="17" t="s">
        <v>19</v>
      </c>
      <c r="AS76" s="17" t="s">
        <v>20</v>
      </c>
      <c r="AU76" s="17" t="s">
        <v>16</v>
      </c>
      <c r="AV76" s="17" t="s">
        <v>17</v>
      </c>
      <c r="AW76" s="17" t="s">
        <v>18</v>
      </c>
      <c r="AX76" s="17" t="s">
        <v>1</v>
      </c>
      <c r="AY76" s="17" t="s">
        <v>16</v>
      </c>
      <c r="AZ76" s="17" t="s">
        <v>31</v>
      </c>
      <c r="BA76" s="17" t="s">
        <v>19</v>
      </c>
      <c r="BB76" s="17" t="s">
        <v>20</v>
      </c>
      <c r="BC76" s="17" t="s">
        <v>42</v>
      </c>
      <c r="BD76" s="17" t="s">
        <v>43</v>
      </c>
      <c r="BE76" s="198"/>
    </row>
    <row r="77" spans="1:57">
      <c r="A77" s="577"/>
      <c r="B77" s="17">
        <v>15</v>
      </c>
      <c r="C77" s="19" t="s">
        <v>22</v>
      </c>
      <c r="D77" s="156">
        <f>+DADES_ALTER!E43</f>
        <v>0</v>
      </c>
      <c r="E77" s="30">
        <f>+$D$54</f>
        <v>0</v>
      </c>
      <c r="F77" s="20">
        <f>IFERROR(VLOOKUP(E77,perdues_sense_aillar,2),)</f>
        <v>0</v>
      </c>
      <c r="G77" s="35">
        <f t="shared" ref="G77" si="33">+F77*D77/1000</f>
        <v>0</v>
      </c>
      <c r="I77" s="17">
        <v>15</v>
      </c>
      <c r="J77" s="19" t="s">
        <v>22</v>
      </c>
      <c r="K77" s="156">
        <f>+DADES_ALTER!H43</f>
        <v>0</v>
      </c>
      <c r="L77" s="30">
        <f>+$D$54</f>
        <v>0</v>
      </c>
      <c r="M77" s="156">
        <f>+DADES_ALTER!I43</f>
        <v>0</v>
      </c>
      <c r="N77" s="162" cm="1">
        <f t="array" ref="N77">IFERROR(VLOOKUP(I77,perdues_amb_aillament,_xlfn.IFS(M77=20,3,M77=25,4,M77=30,5,M77=35,6,M77=40,7,M77=45,8,M77=50,9,M77=55,10)),)</f>
        <v>0</v>
      </c>
      <c r="O77" s="30">
        <f>+N77*L77</f>
        <v>0</v>
      </c>
      <c r="P77" s="35">
        <f>+O77*K77/1000</f>
        <v>0</v>
      </c>
      <c r="Q77" s="160" cm="1">
        <f t="array" ref="Q77">IFERROR(VLOOKUP(I77,cost_aillament,_xlfn.IFS(M77=20,3,M77=25,4,M77=30,5,M77=35,6,M77=40,7,M77=45,8,M77=50,9,M77=55,10))*1.3,)</f>
        <v>0</v>
      </c>
      <c r="R77" s="160">
        <f>+Q77*K77</f>
        <v>0</v>
      </c>
      <c r="S77" s="198"/>
      <c r="T77" s="577"/>
      <c r="U77" s="17">
        <v>15</v>
      </c>
      <c r="V77" s="19" t="s">
        <v>22</v>
      </c>
      <c r="W77" s="156">
        <f>+DADES_ALTER!P43</f>
        <v>0</v>
      </c>
      <c r="X77" s="30">
        <f>+$W$54</f>
        <v>0</v>
      </c>
      <c r="Y77" s="20">
        <f>IFERROR(VLOOKUP(X77,perdues_sense_aillar,2),)</f>
        <v>0</v>
      </c>
      <c r="Z77" s="35">
        <f t="shared" ref="Z77" si="34">+Y77*W77/1000</f>
        <v>0</v>
      </c>
      <c r="AB77" s="17">
        <v>15</v>
      </c>
      <c r="AC77" s="19" t="s">
        <v>22</v>
      </c>
      <c r="AD77" s="156">
        <f>+DADES_ALTER!S43</f>
        <v>0</v>
      </c>
      <c r="AE77" s="30">
        <f>+$W$54</f>
        <v>0</v>
      </c>
      <c r="AF77" s="156">
        <f>+DADES_ALTER!T43</f>
        <v>0</v>
      </c>
      <c r="AG77" s="162" cm="1">
        <f t="array" ref="AG77">IFERROR(VLOOKUP(AB77,perdues_amb_aillament,_xlfn.IFS(AF77=20,3,AF77=25,4,AF77=30,5,AF77=35,6,AF77=40,7,AF77=45,8,AF77=50,9,AF77=55,10)),)</f>
        <v>0</v>
      </c>
      <c r="AH77" s="30">
        <f>+AG77*AE77</f>
        <v>0</v>
      </c>
      <c r="AI77" s="35">
        <f>+AH77*AD77/1000</f>
        <v>0</v>
      </c>
      <c r="AJ77" s="160" cm="1">
        <f t="array" ref="AJ77">IFERROR(VLOOKUP(AB77,cost_aillament,_xlfn.IFS(AF77=20,3,AF77=25,4,AF77=30,5,AF77=35,6,AF77=40,7,AF77=45,8,AF77=50,9,AF77=55,10))*1.3,)</f>
        <v>0</v>
      </c>
      <c r="AK77" s="160">
        <f>+AJ77*AD77</f>
        <v>0</v>
      </c>
      <c r="AL77" s="198"/>
      <c r="AM77" s="577"/>
      <c r="AN77" s="17">
        <v>15</v>
      </c>
      <c r="AO77" s="19" t="s">
        <v>22</v>
      </c>
      <c r="AP77" s="156">
        <f>+DADES_ALTER!AA43</f>
        <v>0</v>
      </c>
      <c r="AQ77" s="30">
        <f>+$AP$54</f>
        <v>0</v>
      </c>
      <c r="AR77" s="20">
        <f>IFERROR(VLOOKUP(AQ77,perdues_sense_aillar,2),)</f>
        <v>0</v>
      </c>
      <c r="AS77" s="35">
        <f t="shared" ref="AS77" si="35">+AR77*AP77/1000</f>
        <v>0</v>
      </c>
      <c r="AU77" s="17">
        <v>15</v>
      </c>
      <c r="AV77" s="19" t="s">
        <v>22</v>
      </c>
      <c r="AW77" s="156">
        <f>+DADES_ALTER!AD43</f>
        <v>0</v>
      </c>
      <c r="AX77" s="30">
        <f>+$AP$54</f>
        <v>0</v>
      </c>
      <c r="AY77" s="156">
        <f>+DADES_ALTER!AE43</f>
        <v>0</v>
      </c>
      <c r="AZ77" s="162" cm="1">
        <f t="array" ref="AZ77">IFERROR(VLOOKUP(AU77,perdues_amb_aillament,_xlfn.IFS(AY77=20,3,AY77=25,4,AY77=30,5,AY77=35,6,AY77=40,7,AY77=45,8,AY77=50,9,AY77=55,10)),)</f>
        <v>0</v>
      </c>
      <c r="BA77" s="30">
        <f>+AZ77*AX77</f>
        <v>0</v>
      </c>
      <c r="BB77" s="35">
        <f>+BA77*AW77/1000</f>
        <v>0</v>
      </c>
      <c r="BC77" s="160" cm="1">
        <f t="array" ref="BC77">IFERROR(VLOOKUP(AU77,cost_aillament,_xlfn.IFS(AY77=20,3,AY77=25,4,AY77=30,5,AY77=35,6,AY77=40,7,AY77=45,8,AY77=50,9,AY77=55,10))*1.3,)</f>
        <v>0</v>
      </c>
      <c r="BD77" s="160">
        <f>+BC77*AW77</f>
        <v>0</v>
      </c>
      <c r="BE77" s="198"/>
    </row>
    <row r="78" spans="1:57">
      <c r="A78" s="577"/>
      <c r="B78" s="17">
        <v>22</v>
      </c>
      <c r="C78" s="21" t="s">
        <v>23</v>
      </c>
      <c r="D78" s="156">
        <f>+DADES_ALTER!E44</f>
        <v>0</v>
      </c>
      <c r="E78" s="30">
        <f t="shared" ref="E78:E86" si="36">+$D$54</f>
        <v>0</v>
      </c>
      <c r="F78" s="17">
        <f>IFERROR(VLOOKUP(E78,perdues_sense_aillar,3),)</f>
        <v>0</v>
      </c>
      <c r="G78" s="35">
        <f>+F78*D78/1000</f>
        <v>0</v>
      </c>
      <c r="I78" s="17">
        <v>22</v>
      </c>
      <c r="J78" s="21" t="s">
        <v>23</v>
      </c>
      <c r="K78" s="156">
        <f>+DADES_ALTER!H44</f>
        <v>0</v>
      </c>
      <c r="L78" s="30">
        <f t="shared" ref="L78:L86" si="37">+$D$54</f>
        <v>0</v>
      </c>
      <c r="M78" s="156">
        <f>+DADES_ALTER!I44</f>
        <v>0</v>
      </c>
      <c r="N78" s="162" cm="1">
        <f t="array" ref="N78">IFERROR(VLOOKUP(I78,perdues_amb_aillament,_xlfn.IFS(M78=20,3,M78=25,4,M78=30,5,M78=35,6,M78=40,7,M78=45,8,M78=50,9,M78=55,10)),)</f>
        <v>0</v>
      </c>
      <c r="O78" s="30">
        <f t="shared" ref="O78:O86" si="38">+N78*L78</f>
        <v>0</v>
      </c>
      <c r="P78" s="35">
        <f t="shared" ref="P78:P86" si="39">+O78*K78/1000</f>
        <v>0</v>
      </c>
      <c r="Q78" s="160" cm="1">
        <f t="array" ref="Q78">IFERROR(VLOOKUP(I78,cost_aillament,_xlfn.IFS(M78=20,3,M78=25,4,M78=30,5,M78=35,6,M78=40,7,M78=45,8,M78=50,9,M78=55,10))*1.3,)</f>
        <v>0</v>
      </c>
      <c r="R78" s="160">
        <f t="shared" ref="R78:R86" si="40">+Q78*K78</f>
        <v>0</v>
      </c>
      <c r="S78" s="198"/>
      <c r="T78" s="577"/>
      <c r="U78" s="17">
        <v>22</v>
      </c>
      <c r="V78" s="21" t="s">
        <v>23</v>
      </c>
      <c r="W78" s="156">
        <f>+DADES_ALTER!P44</f>
        <v>0</v>
      </c>
      <c r="X78" s="30">
        <f t="shared" ref="X78:X86" si="41">+$W$54</f>
        <v>0</v>
      </c>
      <c r="Y78" s="17">
        <f>IFERROR(VLOOKUP(X78,perdues_sense_aillar,3),)</f>
        <v>0</v>
      </c>
      <c r="Z78" s="35">
        <f>+Y78*W78/1000</f>
        <v>0</v>
      </c>
      <c r="AB78" s="17">
        <v>22</v>
      </c>
      <c r="AC78" s="21" t="s">
        <v>23</v>
      </c>
      <c r="AD78" s="156">
        <f>+DADES_ALTER!S44</f>
        <v>0</v>
      </c>
      <c r="AE78" s="30">
        <f t="shared" ref="AE78:AE86" si="42">+$D$54</f>
        <v>0</v>
      </c>
      <c r="AF78" s="156">
        <f>+DADES_ALTER!T44</f>
        <v>0</v>
      </c>
      <c r="AG78" s="162" cm="1">
        <f t="array" ref="AG78">IFERROR(VLOOKUP(AB78,perdues_amb_aillament,_xlfn.IFS(AF78=20,3,AF78=25,4,AF78=30,5,AF78=35,6,AF78=40,7,AF78=45,8,AF78=50,9,AF78=55,10)),)</f>
        <v>0</v>
      </c>
      <c r="AH78" s="30">
        <f t="shared" ref="AH78:AH86" si="43">+AG78*AE78</f>
        <v>0</v>
      </c>
      <c r="AI78" s="35">
        <f t="shared" ref="AI78:AI86" si="44">+AH78*AD78/1000</f>
        <v>0</v>
      </c>
      <c r="AJ78" s="160" cm="1">
        <f t="array" ref="AJ78">IFERROR(VLOOKUP(AB78,cost_aillament,_xlfn.IFS(AF78=20,3,AF78=25,4,AF78=30,5,AF78=35,6,AF78=40,7,AF78=45,8,AF78=50,9,AF78=55,10))*1.3,)</f>
        <v>0</v>
      </c>
      <c r="AK78" s="160">
        <f t="shared" ref="AK78:AK86" si="45">+AJ78*AD78</f>
        <v>0</v>
      </c>
      <c r="AL78" s="198"/>
      <c r="AM78" s="577"/>
      <c r="AN78" s="17">
        <v>22</v>
      </c>
      <c r="AO78" s="21" t="s">
        <v>23</v>
      </c>
      <c r="AP78" s="156">
        <f>+DADES_ALTER!AA44</f>
        <v>0</v>
      </c>
      <c r="AQ78" s="30">
        <f t="shared" ref="AQ78:AQ86" si="46">+$AP$54</f>
        <v>0</v>
      </c>
      <c r="AR78" s="17">
        <f>IFERROR(VLOOKUP(AQ78,perdues_sense_aillar,3),)</f>
        <v>0</v>
      </c>
      <c r="AS78" s="35">
        <f>+AR78*AP78/1000</f>
        <v>0</v>
      </c>
      <c r="AU78" s="17">
        <v>22</v>
      </c>
      <c r="AV78" s="21" t="s">
        <v>23</v>
      </c>
      <c r="AW78" s="156">
        <f>+DADES_ALTER!AD44</f>
        <v>0</v>
      </c>
      <c r="AX78" s="30">
        <f t="shared" ref="AX78:AX86" si="47">+$AP$54</f>
        <v>0</v>
      </c>
      <c r="AY78" s="156">
        <f>+DADES_ALTER!AE44</f>
        <v>0</v>
      </c>
      <c r="AZ78" s="162" cm="1">
        <f t="array" ref="AZ78">IFERROR(VLOOKUP(AU78,perdues_amb_aillament,_xlfn.IFS(AY78=20,3,AY78=25,4,AY78=30,5,AY78=35,6,AY78=40,7,AY78=45,8,AY78=50,9,AY78=55,10)),)</f>
        <v>0</v>
      </c>
      <c r="BA78" s="30">
        <f t="shared" ref="BA78:BA86" si="48">+AZ78*AX78</f>
        <v>0</v>
      </c>
      <c r="BB78" s="35">
        <f t="shared" ref="BB78:BB86" si="49">+BA78*AW78/1000</f>
        <v>0</v>
      </c>
      <c r="BC78" s="160" cm="1">
        <f t="array" ref="BC78">IFERROR(VLOOKUP(AU78,cost_aillament,_xlfn.IFS(AY78=20,3,AY78=25,4,AY78=30,5,AY78=35,6,AY78=40,7,AY78=45,8,AY78=50,9,AY78=55,10))*1.3,)</f>
        <v>0</v>
      </c>
      <c r="BD78" s="160">
        <f t="shared" ref="BD78:BD86" si="50">+BC78*AW78</f>
        <v>0</v>
      </c>
      <c r="BE78" s="198"/>
    </row>
    <row r="79" spans="1:57">
      <c r="A79" s="577"/>
      <c r="B79" s="17">
        <v>28</v>
      </c>
      <c r="C79" s="15">
        <v>1</v>
      </c>
      <c r="D79" s="156">
        <f>+DADES_ALTER!E45</f>
        <v>0</v>
      </c>
      <c r="E79" s="30">
        <f t="shared" si="36"/>
        <v>0</v>
      </c>
      <c r="F79" s="17">
        <f>IFERROR(VLOOKUP(E79,perdues_sense_aillar,4),)</f>
        <v>0</v>
      </c>
      <c r="G79" s="35">
        <f t="shared" ref="G79:G86" si="51">+F79*D79/1000</f>
        <v>0</v>
      </c>
      <c r="I79" s="17">
        <v>28</v>
      </c>
      <c r="J79" s="15">
        <v>1</v>
      </c>
      <c r="K79" s="156">
        <f>+DADES_ALTER!H45</f>
        <v>0</v>
      </c>
      <c r="L79" s="30">
        <f t="shared" si="37"/>
        <v>0</v>
      </c>
      <c r="M79" s="156">
        <f>+DADES_ALTER!I45</f>
        <v>0</v>
      </c>
      <c r="N79" s="162" cm="1">
        <f t="array" ref="N79">IFERROR(VLOOKUP(I79,perdues_amb_aillament,_xlfn.IFS(M79=20,3,M79=25,4,M79=30,5,M79=35,6,M79=40,7,M79=45,8,M79=50,9,M79=55,10)),)</f>
        <v>0</v>
      </c>
      <c r="O79" s="30">
        <f t="shared" si="38"/>
        <v>0</v>
      </c>
      <c r="P79" s="35">
        <f t="shared" si="39"/>
        <v>0</v>
      </c>
      <c r="Q79" s="160" cm="1">
        <f t="array" ref="Q79">IFERROR(VLOOKUP(I79,cost_aillament,_xlfn.IFS(M79=20,3,M79=25,4,M79=30,5,M79=35,6,M79=40,7,M79=45,8,M79=50,9,M79=55,10))*1.3,)</f>
        <v>0</v>
      </c>
      <c r="R79" s="160">
        <f t="shared" si="40"/>
        <v>0</v>
      </c>
      <c r="S79" s="198"/>
      <c r="T79" s="577"/>
      <c r="U79" s="17">
        <v>28</v>
      </c>
      <c r="V79" s="15">
        <v>1</v>
      </c>
      <c r="W79" s="156">
        <f>+DADES_ALTER!P45</f>
        <v>0</v>
      </c>
      <c r="X79" s="30">
        <f t="shared" si="41"/>
        <v>0</v>
      </c>
      <c r="Y79" s="17">
        <f>IFERROR(VLOOKUP(X79,perdues_sense_aillar,4),)</f>
        <v>0</v>
      </c>
      <c r="Z79" s="35">
        <f t="shared" ref="Z79:Z86" si="52">+Y79*W79/1000</f>
        <v>0</v>
      </c>
      <c r="AB79" s="17">
        <v>28</v>
      </c>
      <c r="AC79" s="15">
        <v>1</v>
      </c>
      <c r="AD79" s="156">
        <f>+DADES_ALTER!S45</f>
        <v>0</v>
      </c>
      <c r="AE79" s="30">
        <f t="shared" si="42"/>
        <v>0</v>
      </c>
      <c r="AF79" s="156">
        <f>+DADES_ALTER!T45</f>
        <v>0</v>
      </c>
      <c r="AG79" s="162" cm="1">
        <f t="array" ref="AG79">IFERROR(VLOOKUP(AB79,perdues_amb_aillament,_xlfn.IFS(AF79=20,3,AF79=25,4,AF79=30,5,AF79=35,6,AF79=40,7,AF79=45,8,AF79=50,9,AF79=55,10)),)</f>
        <v>0</v>
      </c>
      <c r="AH79" s="30">
        <f t="shared" si="43"/>
        <v>0</v>
      </c>
      <c r="AI79" s="35">
        <f t="shared" si="44"/>
        <v>0</v>
      </c>
      <c r="AJ79" s="160" cm="1">
        <f t="array" ref="AJ79">IFERROR(VLOOKUP(AB79,cost_aillament,_xlfn.IFS(AF79=20,3,AF79=25,4,AF79=30,5,AF79=35,6,AF79=40,7,AF79=45,8,AF79=50,9,AF79=55,10))*1.3,)</f>
        <v>0</v>
      </c>
      <c r="AK79" s="160">
        <f t="shared" si="45"/>
        <v>0</v>
      </c>
      <c r="AL79" s="198"/>
      <c r="AM79" s="577"/>
      <c r="AN79" s="17">
        <v>28</v>
      </c>
      <c r="AO79" s="15">
        <v>1</v>
      </c>
      <c r="AP79" s="156">
        <f>+DADES_ALTER!AA45</f>
        <v>0</v>
      </c>
      <c r="AQ79" s="30">
        <f t="shared" si="46"/>
        <v>0</v>
      </c>
      <c r="AR79" s="17">
        <f>IFERROR(VLOOKUP(AQ79,perdues_sense_aillar,4),)</f>
        <v>0</v>
      </c>
      <c r="AS79" s="35">
        <f t="shared" ref="AS79:AS86" si="53">+AR79*AP79/1000</f>
        <v>0</v>
      </c>
      <c r="AU79" s="17">
        <v>28</v>
      </c>
      <c r="AV79" s="15">
        <v>1</v>
      </c>
      <c r="AW79" s="156">
        <f>+DADES_ALTER!AD45</f>
        <v>0</v>
      </c>
      <c r="AX79" s="30">
        <f t="shared" si="47"/>
        <v>0</v>
      </c>
      <c r="AY79" s="156">
        <f>+DADES_ALTER!AE45</f>
        <v>0</v>
      </c>
      <c r="AZ79" s="162" cm="1">
        <f t="array" ref="AZ79">IFERROR(VLOOKUP(AU79,perdues_amb_aillament,_xlfn.IFS(AY79=20,3,AY79=25,4,AY79=30,5,AY79=35,6,AY79=40,7,AY79=45,8,AY79=50,9,AY79=55,10)),)</f>
        <v>0</v>
      </c>
      <c r="BA79" s="30">
        <f t="shared" si="48"/>
        <v>0</v>
      </c>
      <c r="BB79" s="35">
        <f t="shared" si="49"/>
        <v>0</v>
      </c>
      <c r="BC79" s="160" cm="1">
        <f t="array" ref="BC79">IFERROR(VLOOKUP(AU79,cost_aillament,_xlfn.IFS(AY79=20,3,AY79=25,4,AY79=30,5,AY79=35,6,AY79=40,7,AY79=45,8,AY79=50,9,AY79=55,10))*1.3,)</f>
        <v>0</v>
      </c>
      <c r="BD79" s="160">
        <f t="shared" si="50"/>
        <v>0</v>
      </c>
      <c r="BE79" s="198"/>
    </row>
    <row r="80" spans="1:57">
      <c r="A80" s="577"/>
      <c r="B80" s="17">
        <v>35</v>
      </c>
      <c r="C80" s="22">
        <v>1.25</v>
      </c>
      <c r="D80" s="156">
        <f>+DADES_ALTER!E46</f>
        <v>0</v>
      </c>
      <c r="E80" s="30">
        <f t="shared" si="36"/>
        <v>0</v>
      </c>
      <c r="F80" s="17">
        <f>IFERROR(VLOOKUP(E80,perdues_sense_aillar,5),)</f>
        <v>0</v>
      </c>
      <c r="G80" s="35">
        <f t="shared" si="51"/>
        <v>0</v>
      </c>
      <c r="I80" s="17">
        <v>35</v>
      </c>
      <c r="J80" s="22">
        <v>1.25</v>
      </c>
      <c r="K80" s="156">
        <f>+DADES_ALTER!H46</f>
        <v>0</v>
      </c>
      <c r="L80" s="30">
        <f t="shared" si="37"/>
        <v>0</v>
      </c>
      <c r="M80" s="156">
        <f>+DADES_ALTER!I46</f>
        <v>0</v>
      </c>
      <c r="N80" s="162" cm="1">
        <f t="array" ref="N80">IFERROR(VLOOKUP(I80,perdues_amb_aillament,_xlfn.IFS(M80=20,3,M80=25,4,M80=30,5,M80=35,6,M80=40,7,M80=45,8,M80=50,9,M80=55,10)),)</f>
        <v>0</v>
      </c>
      <c r="O80" s="30">
        <f t="shared" si="38"/>
        <v>0</v>
      </c>
      <c r="P80" s="35">
        <f t="shared" si="39"/>
        <v>0</v>
      </c>
      <c r="Q80" s="160" cm="1">
        <f t="array" ref="Q80">IFERROR(VLOOKUP(I80,cost_aillament,_xlfn.IFS(M80=20,3,M80=25,4,M80=30,5,M80=35,6,M80=40,7,M80=45,8,M80=50,9,M80=55,10))*1.3,)</f>
        <v>0</v>
      </c>
      <c r="R80" s="160">
        <f t="shared" si="40"/>
        <v>0</v>
      </c>
      <c r="S80" s="198"/>
      <c r="T80" s="577"/>
      <c r="U80" s="17">
        <v>35</v>
      </c>
      <c r="V80" s="22">
        <v>1.25</v>
      </c>
      <c r="W80" s="156">
        <f>+DADES_ALTER!P46</f>
        <v>0</v>
      </c>
      <c r="X80" s="30">
        <f t="shared" si="41"/>
        <v>0</v>
      </c>
      <c r="Y80" s="17">
        <f>IFERROR(VLOOKUP(X80,perdues_sense_aillar,5),)</f>
        <v>0</v>
      </c>
      <c r="Z80" s="35">
        <f t="shared" si="52"/>
        <v>0</v>
      </c>
      <c r="AB80" s="17">
        <v>35</v>
      </c>
      <c r="AC80" s="22">
        <v>1.25</v>
      </c>
      <c r="AD80" s="156">
        <f>+DADES_ALTER!S46</f>
        <v>0</v>
      </c>
      <c r="AE80" s="30">
        <f t="shared" si="42"/>
        <v>0</v>
      </c>
      <c r="AF80" s="156">
        <f>+DADES_ALTER!T46</f>
        <v>0</v>
      </c>
      <c r="AG80" s="162" cm="1">
        <f t="array" ref="AG80">IFERROR(VLOOKUP(AB80,perdues_amb_aillament,_xlfn.IFS(AF80=20,3,AF80=25,4,AF80=30,5,AF80=35,6,AF80=40,7,AF80=45,8,AF80=50,9,AF80=55,10)),)</f>
        <v>0</v>
      </c>
      <c r="AH80" s="30">
        <f t="shared" si="43"/>
        <v>0</v>
      </c>
      <c r="AI80" s="35">
        <f t="shared" si="44"/>
        <v>0</v>
      </c>
      <c r="AJ80" s="160" cm="1">
        <f t="array" ref="AJ80">IFERROR(VLOOKUP(AB80,cost_aillament,_xlfn.IFS(AF80=20,3,AF80=25,4,AF80=30,5,AF80=35,6,AF80=40,7,AF80=45,8,AF80=50,9,AF80=55,10))*1.3,)</f>
        <v>0</v>
      </c>
      <c r="AK80" s="160">
        <f t="shared" si="45"/>
        <v>0</v>
      </c>
      <c r="AL80" s="198"/>
      <c r="AM80" s="577"/>
      <c r="AN80" s="17">
        <v>35</v>
      </c>
      <c r="AO80" s="22">
        <v>1.25</v>
      </c>
      <c r="AP80" s="156">
        <f>+DADES_ALTER!AA46</f>
        <v>0</v>
      </c>
      <c r="AQ80" s="30">
        <f t="shared" si="46"/>
        <v>0</v>
      </c>
      <c r="AR80" s="17">
        <f>IFERROR(VLOOKUP(AQ80,perdues_sense_aillar,5),)</f>
        <v>0</v>
      </c>
      <c r="AS80" s="35">
        <f t="shared" si="53"/>
        <v>0</v>
      </c>
      <c r="AU80" s="17">
        <v>35</v>
      </c>
      <c r="AV80" s="22">
        <v>1.25</v>
      </c>
      <c r="AW80" s="156">
        <f>+DADES_ALTER!AD46</f>
        <v>0</v>
      </c>
      <c r="AX80" s="30">
        <f t="shared" si="47"/>
        <v>0</v>
      </c>
      <c r="AY80" s="156">
        <f>+DADES_ALTER!AE46</f>
        <v>0</v>
      </c>
      <c r="AZ80" s="162" cm="1">
        <f t="array" ref="AZ80">IFERROR(VLOOKUP(AU80,perdues_amb_aillament,_xlfn.IFS(AY80=20,3,AY80=25,4,AY80=30,5,AY80=35,6,AY80=40,7,AY80=45,8,AY80=50,9,AY80=55,10)),)</f>
        <v>0</v>
      </c>
      <c r="BA80" s="30">
        <f t="shared" si="48"/>
        <v>0</v>
      </c>
      <c r="BB80" s="35">
        <f t="shared" si="49"/>
        <v>0</v>
      </c>
      <c r="BC80" s="160" cm="1">
        <f t="array" ref="BC80">IFERROR(VLOOKUP(AU80,cost_aillament,_xlfn.IFS(AY80=20,3,AY80=25,4,AY80=30,5,AY80=35,6,AY80=40,7,AY80=45,8,AY80=50,9,AY80=55,10))*1.3,)</f>
        <v>0</v>
      </c>
      <c r="BD80" s="160">
        <f t="shared" si="50"/>
        <v>0</v>
      </c>
      <c r="BE80" s="198"/>
    </row>
    <row r="81" spans="1:57">
      <c r="A81" s="577"/>
      <c r="B81" s="17">
        <v>42</v>
      </c>
      <c r="C81" s="22">
        <v>1.5</v>
      </c>
      <c r="D81" s="156">
        <f>+DADES_ALTER!E47</f>
        <v>0</v>
      </c>
      <c r="E81" s="30">
        <f t="shared" si="36"/>
        <v>0</v>
      </c>
      <c r="F81" s="17">
        <f>IFERROR(VLOOKUP(E81,perdues_sense_aillar,6),)</f>
        <v>0</v>
      </c>
      <c r="G81" s="35">
        <f t="shared" si="51"/>
        <v>0</v>
      </c>
      <c r="I81" s="17">
        <v>42</v>
      </c>
      <c r="J81" s="22">
        <v>1.5</v>
      </c>
      <c r="K81" s="156">
        <f>+DADES_ALTER!H47</f>
        <v>0</v>
      </c>
      <c r="L81" s="30">
        <f t="shared" si="37"/>
        <v>0</v>
      </c>
      <c r="M81" s="156">
        <f>+DADES_ALTER!I47</f>
        <v>0</v>
      </c>
      <c r="N81" s="162" cm="1">
        <f t="array" ref="N81">IFERROR(VLOOKUP(I81,perdues_amb_aillament,_xlfn.IFS(M81=20,3,M81=25,4,M81=30,5,M81=35,6,M81=40,7,M81=45,8,M81=50,9,M81=55,10)),)</f>
        <v>0</v>
      </c>
      <c r="O81" s="30">
        <f t="shared" si="38"/>
        <v>0</v>
      </c>
      <c r="P81" s="35">
        <f t="shared" si="39"/>
        <v>0</v>
      </c>
      <c r="Q81" s="160" cm="1">
        <f t="array" ref="Q81">IFERROR(VLOOKUP(I81,cost_aillament,_xlfn.IFS(M81=20,3,M81=25,4,M81=30,5,M81=35,6,M81=40,7,M81=45,8,M81=50,9,M81=55,10))*1.3,)</f>
        <v>0</v>
      </c>
      <c r="R81" s="160">
        <f t="shared" si="40"/>
        <v>0</v>
      </c>
      <c r="S81" s="198"/>
      <c r="T81" s="577"/>
      <c r="U81" s="17">
        <v>42</v>
      </c>
      <c r="V81" s="22">
        <v>1.5</v>
      </c>
      <c r="W81" s="156">
        <f>+DADES_ALTER!P47</f>
        <v>0</v>
      </c>
      <c r="X81" s="30">
        <f t="shared" si="41"/>
        <v>0</v>
      </c>
      <c r="Y81" s="17">
        <f>IFERROR(VLOOKUP(X81,perdues_sense_aillar,6),)</f>
        <v>0</v>
      </c>
      <c r="Z81" s="35">
        <f t="shared" si="52"/>
        <v>0</v>
      </c>
      <c r="AB81" s="17">
        <v>42</v>
      </c>
      <c r="AC81" s="22">
        <v>1.5</v>
      </c>
      <c r="AD81" s="156">
        <f>+DADES_ALTER!S47</f>
        <v>0</v>
      </c>
      <c r="AE81" s="30">
        <f t="shared" si="42"/>
        <v>0</v>
      </c>
      <c r="AF81" s="156">
        <f>+DADES_ALTER!T47</f>
        <v>0</v>
      </c>
      <c r="AG81" s="162" cm="1">
        <f t="array" ref="AG81">IFERROR(VLOOKUP(AB81,perdues_amb_aillament,_xlfn.IFS(AF81=20,3,AF81=25,4,AF81=30,5,AF81=35,6,AF81=40,7,AF81=45,8,AF81=50,9,AF81=55,10)),)</f>
        <v>0</v>
      </c>
      <c r="AH81" s="30">
        <f t="shared" si="43"/>
        <v>0</v>
      </c>
      <c r="AI81" s="35">
        <f t="shared" si="44"/>
        <v>0</v>
      </c>
      <c r="AJ81" s="160" cm="1">
        <f t="array" ref="AJ81">IFERROR(VLOOKUP(AB81,cost_aillament,_xlfn.IFS(AF81=20,3,AF81=25,4,AF81=30,5,AF81=35,6,AF81=40,7,AF81=45,8,AF81=50,9,AF81=55,10))*1.3,)</f>
        <v>0</v>
      </c>
      <c r="AK81" s="160">
        <f t="shared" si="45"/>
        <v>0</v>
      </c>
      <c r="AL81" s="198"/>
      <c r="AM81" s="577"/>
      <c r="AN81" s="17">
        <v>42</v>
      </c>
      <c r="AO81" s="22">
        <v>1.5</v>
      </c>
      <c r="AP81" s="156">
        <f>+DADES_ALTER!AA47</f>
        <v>0</v>
      </c>
      <c r="AQ81" s="30">
        <f t="shared" si="46"/>
        <v>0</v>
      </c>
      <c r="AR81" s="17">
        <f>IFERROR(VLOOKUP(AQ81,perdues_sense_aillar,6),)</f>
        <v>0</v>
      </c>
      <c r="AS81" s="35">
        <f t="shared" si="53"/>
        <v>0</v>
      </c>
      <c r="AU81" s="17">
        <v>42</v>
      </c>
      <c r="AV81" s="22">
        <v>1.5</v>
      </c>
      <c r="AW81" s="156">
        <f>+DADES_ALTER!AD47</f>
        <v>0</v>
      </c>
      <c r="AX81" s="30">
        <f t="shared" si="47"/>
        <v>0</v>
      </c>
      <c r="AY81" s="156">
        <f>+DADES_ALTER!AE47</f>
        <v>0</v>
      </c>
      <c r="AZ81" s="162" cm="1">
        <f t="array" ref="AZ81">IFERROR(VLOOKUP(AU81,perdues_amb_aillament,_xlfn.IFS(AY81=20,3,AY81=25,4,AY81=30,5,AY81=35,6,AY81=40,7,AY81=45,8,AY81=50,9,AY81=55,10)),)</f>
        <v>0</v>
      </c>
      <c r="BA81" s="30">
        <f t="shared" si="48"/>
        <v>0</v>
      </c>
      <c r="BB81" s="35">
        <f t="shared" si="49"/>
        <v>0</v>
      </c>
      <c r="BC81" s="160" cm="1">
        <f t="array" ref="BC81">IFERROR(VLOOKUP(AU81,cost_aillament,_xlfn.IFS(AY81=20,3,AY81=25,4,AY81=30,5,AY81=35,6,AY81=40,7,AY81=45,8,AY81=50,9,AY81=55,10))*1.3,)</f>
        <v>0</v>
      </c>
      <c r="BD81" s="160">
        <f t="shared" si="50"/>
        <v>0</v>
      </c>
      <c r="BE81" s="198"/>
    </row>
    <row r="82" spans="1:57">
      <c r="A82" s="577"/>
      <c r="B82" s="17">
        <v>48</v>
      </c>
      <c r="C82" s="15">
        <v>2</v>
      </c>
      <c r="D82" s="156">
        <f>+DADES_ALTER!E48</f>
        <v>0</v>
      </c>
      <c r="E82" s="30">
        <f t="shared" si="36"/>
        <v>0</v>
      </c>
      <c r="F82" s="17">
        <f>IFERROR(VLOOKUP(E82,perdues_sense_aillar,7),)</f>
        <v>0</v>
      </c>
      <c r="G82" s="35">
        <f t="shared" si="51"/>
        <v>0</v>
      </c>
      <c r="I82" s="17">
        <v>48</v>
      </c>
      <c r="J82" s="15">
        <v>2</v>
      </c>
      <c r="K82" s="156">
        <f>+DADES_ALTER!H48</f>
        <v>0</v>
      </c>
      <c r="L82" s="30">
        <f t="shared" si="37"/>
        <v>0</v>
      </c>
      <c r="M82" s="156">
        <f>+DADES_ALTER!I48</f>
        <v>0</v>
      </c>
      <c r="N82" s="162" cm="1">
        <f t="array" ref="N82">IFERROR(VLOOKUP(I82,perdues_amb_aillament,_xlfn.IFS(M82=20,3,M82=25,4,M82=30,5,M82=35,6,M82=40,7,M82=45,8,M82=50,9,M82=55,10)),)</f>
        <v>0</v>
      </c>
      <c r="O82" s="30">
        <f t="shared" si="38"/>
        <v>0</v>
      </c>
      <c r="P82" s="35">
        <f t="shared" si="39"/>
        <v>0</v>
      </c>
      <c r="Q82" s="160" cm="1">
        <f t="array" ref="Q82">IFERROR(VLOOKUP(I82,cost_aillament,_xlfn.IFS(M82=20,3,M82=25,4,M82=30,5,M82=35,6,M82=40,7,M82=45,8,M82=50,9,M82=55,10))*1.3,)</f>
        <v>0</v>
      </c>
      <c r="R82" s="160">
        <f t="shared" si="40"/>
        <v>0</v>
      </c>
      <c r="S82" s="198"/>
      <c r="T82" s="577"/>
      <c r="U82" s="17">
        <v>48</v>
      </c>
      <c r="V82" s="15">
        <v>2</v>
      </c>
      <c r="W82" s="156">
        <f>+DADES_ALTER!P48</f>
        <v>0</v>
      </c>
      <c r="X82" s="30">
        <f t="shared" si="41"/>
        <v>0</v>
      </c>
      <c r="Y82" s="17">
        <f>IFERROR(VLOOKUP(X82,perdues_sense_aillar,7),)</f>
        <v>0</v>
      </c>
      <c r="Z82" s="35">
        <f t="shared" si="52"/>
        <v>0</v>
      </c>
      <c r="AB82" s="17">
        <v>48</v>
      </c>
      <c r="AC82" s="15">
        <v>2</v>
      </c>
      <c r="AD82" s="156">
        <f>+DADES_ALTER!S48</f>
        <v>0</v>
      </c>
      <c r="AE82" s="30">
        <f t="shared" si="42"/>
        <v>0</v>
      </c>
      <c r="AF82" s="156">
        <f>+DADES_ALTER!T48</f>
        <v>0</v>
      </c>
      <c r="AG82" s="162" cm="1">
        <f t="array" ref="AG82">IFERROR(VLOOKUP(AB82,perdues_amb_aillament,_xlfn.IFS(AF82=20,3,AF82=25,4,AF82=30,5,AF82=35,6,AF82=40,7,AF82=45,8,AF82=50,9,AF82=55,10)),)</f>
        <v>0</v>
      </c>
      <c r="AH82" s="30">
        <f t="shared" si="43"/>
        <v>0</v>
      </c>
      <c r="AI82" s="35">
        <f t="shared" si="44"/>
        <v>0</v>
      </c>
      <c r="AJ82" s="160" cm="1">
        <f t="array" ref="AJ82">IFERROR(VLOOKUP(AB82,cost_aillament,_xlfn.IFS(AF82=20,3,AF82=25,4,AF82=30,5,AF82=35,6,AF82=40,7,AF82=45,8,AF82=50,9,AF82=55,10))*1.3,)</f>
        <v>0</v>
      </c>
      <c r="AK82" s="160">
        <f t="shared" si="45"/>
        <v>0</v>
      </c>
      <c r="AL82" s="198"/>
      <c r="AM82" s="577"/>
      <c r="AN82" s="17">
        <v>48</v>
      </c>
      <c r="AO82" s="15">
        <v>2</v>
      </c>
      <c r="AP82" s="156">
        <f>+DADES_ALTER!AA48</f>
        <v>0</v>
      </c>
      <c r="AQ82" s="30">
        <f t="shared" si="46"/>
        <v>0</v>
      </c>
      <c r="AR82" s="17">
        <f>IFERROR(VLOOKUP(AQ82,perdues_sense_aillar,7),)</f>
        <v>0</v>
      </c>
      <c r="AS82" s="35">
        <f t="shared" si="53"/>
        <v>0</v>
      </c>
      <c r="AU82" s="17">
        <v>48</v>
      </c>
      <c r="AV82" s="15">
        <v>2</v>
      </c>
      <c r="AW82" s="156">
        <f>+DADES_ALTER!AD48</f>
        <v>0</v>
      </c>
      <c r="AX82" s="30">
        <f t="shared" si="47"/>
        <v>0</v>
      </c>
      <c r="AY82" s="156">
        <f>+DADES_ALTER!AE48</f>
        <v>0</v>
      </c>
      <c r="AZ82" s="162" cm="1">
        <f t="array" ref="AZ82">IFERROR(VLOOKUP(AU82,perdues_amb_aillament,_xlfn.IFS(AY82=20,3,AY82=25,4,AY82=30,5,AY82=35,6,AY82=40,7,AY82=45,8,AY82=50,9,AY82=55,10)),)</f>
        <v>0</v>
      </c>
      <c r="BA82" s="30">
        <f t="shared" si="48"/>
        <v>0</v>
      </c>
      <c r="BB82" s="35">
        <f t="shared" si="49"/>
        <v>0</v>
      </c>
      <c r="BC82" s="160" cm="1">
        <f t="array" ref="BC82">IFERROR(VLOOKUP(AU82,cost_aillament,_xlfn.IFS(AY82=20,3,AY82=25,4,AY82=30,5,AY82=35,6,AY82=40,7,AY82=45,8,AY82=50,9,AY82=55,10))*1.3,)</f>
        <v>0</v>
      </c>
      <c r="BD82" s="160">
        <f t="shared" si="50"/>
        <v>0</v>
      </c>
      <c r="BE82" s="198"/>
    </row>
    <row r="83" spans="1:57">
      <c r="A83" s="577"/>
      <c r="B83" s="17">
        <v>54</v>
      </c>
      <c r="C83" s="15">
        <v>2</v>
      </c>
      <c r="D83" s="156">
        <f>+DADES_ALTER!E49</f>
        <v>0</v>
      </c>
      <c r="E83" s="30">
        <f t="shared" si="36"/>
        <v>0</v>
      </c>
      <c r="F83" s="17">
        <f>IFERROR(VLOOKUP(E83,perdues_sense_aillar,7),)</f>
        <v>0</v>
      </c>
      <c r="G83" s="35">
        <f t="shared" si="51"/>
        <v>0</v>
      </c>
      <c r="I83" s="17">
        <v>54</v>
      </c>
      <c r="J83" s="15">
        <v>2</v>
      </c>
      <c r="K83" s="156">
        <f>+DADES_ALTER!H49</f>
        <v>0</v>
      </c>
      <c r="L83" s="30">
        <f t="shared" si="37"/>
        <v>0</v>
      </c>
      <c r="M83" s="156">
        <f>+DADES_ALTER!I49</f>
        <v>0</v>
      </c>
      <c r="N83" s="162" cm="1">
        <f t="array" ref="N83">IFERROR(VLOOKUP(I83,perdues_amb_aillament,_xlfn.IFS(M83=20,3,M83=25,4,M83=30,5,M83=35,6,M83=40,7,M83=45,8,M83=50,9,M83=55,10)),)</f>
        <v>0</v>
      </c>
      <c r="O83" s="30">
        <f t="shared" si="38"/>
        <v>0</v>
      </c>
      <c r="P83" s="35">
        <f t="shared" si="39"/>
        <v>0</v>
      </c>
      <c r="Q83" s="160" cm="1">
        <f t="array" ref="Q83">IFERROR(VLOOKUP(I83,cost_aillament,_xlfn.IFS(M83=20,3,M83=25,4,M83=30,5,M83=35,6,M83=40,7,M83=45,8,M83=50,9,M83=55,10))*1.3,)</f>
        <v>0</v>
      </c>
      <c r="R83" s="160">
        <f t="shared" si="40"/>
        <v>0</v>
      </c>
      <c r="S83" s="198"/>
      <c r="T83" s="577"/>
      <c r="U83" s="17">
        <v>54</v>
      </c>
      <c r="V83" s="15">
        <v>2</v>
      </c>
      <c r="W83" s="156">
        <f>+DADES_ALTER!P49</f>
        <v>0</v>
      </c>
      <c r="X83" s="30">
        <f t="shared" si="41"/>
        <v>0</v>
      </c>
      <c r="Y83" s="17">
        <f>IFERROR(VLOOKUP(X83,perdues_sense_aillar,7),)</f>
        <v>0</v>
      </c>
      <c r="Z83" s="35">
        <f t="shared" si="52"/>
        <v>0</v>
      </c>
      <c r="AB83" s="17">
        <v>54</v>
      </c>
      <c r="AC83" s="15">
        <v>2</v>
      </c>
      <c r="AD83" s="156">
        <f>+DADES_ALTER!S49</f>
        <v>0</v>
      </c>
      <c r="AE83" s="30">
        <f t="shared" si="42"/>
        <v>0</v>
      </c>
      <c r="AF83" s="156">
        <f>+DADES_ALTER!T49</f>
        <v>0</v>
      </c>
      <c r="AG83" s="162" cm="1">
        <f t="array" ref="AG83">IFERROR(VLOOKUP(AB83,perdues_amb_aillament,_xlfn.IFS(AF83=20,3,AF83=25,4,AF83=30,5,AF83=35,6,AF83=40,7,AF83=45,8,AF83=50,9,AF83=55,10)),)</f>
        <v>0</v>
      </c>
      <c r="AH83" s="30">
        <f t="shared" si="43"/>
        <v>0</v>
      </c>
      <c r="AI83" s="35">
        <f t="shared" si="44"/>
        <v>0</v>
      </c>
      <c r="AJ83" s="160" cm="1">
        <f t="array" ref="AJ83">IFERROR(VLOOKUP(AB83,cost_aillament,_xlfn.IFS(AF83=20,3,AF83=25,4,AF83=30,5,AF83=35,6,AF83=40,7,AF83=45,8,AF83=50,9,AF83=55,10))*1.3,)</f>
        <v>0</v>
      </c>
      <c r="AK83" s="160">
        <f t="shared" si="45"/>
        <v>0</v>
      </c>
      <c r="AL83" s="198"/>
      <c r="AM83" s="577"/>
      <c r="AN83" s="17">
        <v>54</v>
      </c>
      <c r="AO83" s="15">
        <v>2</v>
      </c>
      <c r="AP83" s="156">
        <f>+DADES_ALTER!AA49</f>
        <v>0</v>
      </c>
      <c r="AQ83" s="30">
        <f t="shared" si="46"/>
        <v>0</v>
      </c>
      <c r="AR83" s="17">
        <f>IFERROR(VLOOKUP(AQ83,perdues_sense_aillar,7),)</f>
        <v>0</v>
      </c>
      <c r="AS83" s="35">
        <f t="shared" si="53"/>
        <v>0</v>
      </c>
      <c r="AU83" s="17">
        <v>54</v>
      </c>
      <c r="AV83" s="15">
        <v>2</v>
      </c>
      <c r="AW83" s="156">
        <f>+DADES_ALTER!AD49</f>
        <v>0</v>
      </c>
      <c r="AX83" s="30">
        <f t="shared" si="47"/>
        <v>0</v>
      </c>
      <c r="AY83" s="156">
        <f>+DADES_ALTER!AE49</f>
        <v>0</v>
      </c>
      <c r="AZ83" s="162" cm="1">
        <f t="array" ref="AZ83">IFERROR(VLOOKUP(AU83,perdues_amb_aillament,_xlfn.IFS(AY83=20,3,AY83=25,4,AY83=30,5,AY83=35,6,AY83=40,7,AY83=45,8,AY83=50,9,AY83=55,10)),)</f>
        <v>0</v>
      </c>
      <c r="BA83" s="30">
        <f t="shared" si="48"/>
        <v>0</v>
      </c>
      <c r="BB83" s="35">
        <f t="shared" si="49"/>
        <v>0</v>
      </c>
      <c r="BC83" s="160" cm="1">
        <f t="array" ref="BC83">IFERROR(VLOOKUP(AU83,cost_aillament,_xlfn.IFS(AY83=20,3,AY83=25,4,AY83=30,5,AY83=35,6,AY83=40,7,AY83=45,8,AY83=50,9,AY83=55,10))*1.3,)</f>
        <v>0</v>
      </c>
      <c r="BD83" s="160">
        <f t="shared" si="50"/>
        <v>0</v>
      </c>
      <c r="BE83" s="198"/>
    </row>
    <row r="84" spans="1:57">
      <c r="A84" s="577"/>
      <c r="B84" s="17">
        <v>64</v>
      </c>
      <c r="C84" s="22">
        <v>2.5</v>
      </c>
      <c r="D84" s="156">
        <f>+DADES_ALTER!E50</f>
        <v>0</v>
      </c>
      <c r="E84" s="30">
        <f t="shared" si="36"/>
        <v>0</v>
      </c>
      <c r="F84" s="17">
        <f>IFERROR(VLOOKUP(E84,perdues_sense_aillar,8),)</f>
        <v>0</v>
      </c>
      <c r="G84" s="35">
        <f t="shared" si="51"/>
        <v>0</v>
      </c>
      <c r="I84" s="17">
        <v>64</v>
      </c>
      <c r="J84" s="22">
        <v>2.5</v>
      </c>
      <c r="K84" s="156">
        <f>+DADES_ALTER!H50</f>
        <v>0</v>
      </c>
      <c r="L84" s="30">
        <f t="shared" si="37"/>
        <v>0</v>
      </c>
      <c r="M84" s="156">
        <f>+DADES_ALTER!I50</f>
        <v>0</v>
      </c>
      <c r="N84" s="162" cm="1">
        <f t="array" ref="N84">IFERROR(VLOOKUP(I84,perdues_amb_aillament,_xlfn.IFS(M84=20,3,M84=25,4,M84=30,5,M84=35,6,M84=40,7,M84=45,8,M84=50,9,M84=55,10)),)</f>
        <v>0</v>
      </c>
      <c r="O84" s="30">
        <f t="shared" si="38"/>
        <v>0</v>
      </c>
      <c r="P84" s="35">
        <f t="shared" si="39"/>
        <v>0</v>
      </c>
      <c r="Q84" s="160" cm="1">
        <f t="array" ref="Q84">IFERROR(VLOOKUP(I84,cost_aillament,_xlfn.IFS(M84=20,3,M84=25,4,M84=30,5,M84=35,6,M84=40,7,M84=45,8,M84=50,9,M84=55,10))*1.3,)</f>
        <v>0</v>
      </c>
      <c r="R84" s="160">
        <f t="shared" si="40"/>
        <v>0</v>
      </c>
      <c r="S84" s="198"/>
      <c r="T84" s="577"/>
      <c r="U84" s="17">
        <v>64</v>
      </c>
      <c r="V84" s="22">
        <v>2.5</v>
      </c>
      <c r="W84" s="156">
        <f>+DADES_ALTER!P50</f>
        <v>0</v>
      </c>
      <c r="X84" s="30">
        <f t="shared" si="41"/>
        <v>0</v>
      </c>
      <c r="Y84" s="17">
        <f>IFERROR(VLOOKUP(X84,perdues_sense_aillar,8),)</f>
        <v>0</v>
      </c>
      <c r="Z84" s="35">
        <f t="shared" si="52"/>
        <v>0</v>
      </c>
      <c r="AB84" s="17">
        <v>64</v>
      </c>
      <c r="AC84" s="22">
        <v>2.5</v>
      </c>
      <c r="AD84" s="156">
        <f>+DADES_ALTER!S50</f>
        <v>0</v>
      </c>
      <c r="AE84" s="30">
        <f t="shared" si="42"/>
        <v>0</v>
      </c>
      <c r="AF84" s="156">
        <f>+DADES_ALTER!T50</f>
        <v>0</v>
      </c>
      <c r="AG84" s="162" cm="1">
        <f t="array" ref="AG84">IFERROR(VLOOKUP(AB84,perdues_amb_aillament,_xlfn.IFS(AF84=20,3,AF84=25,4,AF84=30,5,AF84=35,6,AF84=40,7,AF84=45,8,AF84=50,9,AF84=55,10)),)</f>
        <v>0</v>
      </c>
      <c r="AH84" s="30">
        <f t="shared" si="43"/>
        <v>0</v>
      </c>
      <c r="AI84" s="35">
        <f t="shared" si="44"/>
        <v>0</v>
      </c>
      <c r="AJ84" s="160" cm="1">
        <f t="array" ref="AJ84">IFERROR(VLOOKUP(AB84,cost_aillament,_xlfn.IFS(AF84=20,3,AF84=25,4,AF84=30,5,AF84=35,6,AF84=40,7,AF84=45,8,AF84=50,9,AF84=55,10))*1.3,)</f>
        <v>0</v>
      </c>
      <c r="AK84" s="160">
        <f t="shared" si="45"/>
        <v>0</v>
      </c>
      <c r="AL84" s="198"/>
      <c r="AM84" s="577"/>
      <c r="AN84" s="17">
        <v>64</v>
      </c>
      <c r="AO84" s="22">
        <v>2.5</v>
      </c>
      <c r="AP84" s="156">
        <f>+DADES_ALTER!AA50</f>
        <v>0</v>
      </c>
      <c r="AQ84" s="30">
        <f t="shared" si="46"/>
        <v>0</v>
      </c>
      <c r="AR84" s="17">
        <f>IFERROR(VLOOKUP(AQ84,perdues_sense_aillar,8),)</f>
        <v>0</v>
      </c>
      <c r="AS84" s="35">
        <f t="shared" si="53"/>
        <v>0</v>
      </c>
      <c r="AU84" s="17">
        <v>64</v>
      </c>
      <c r="AV84" s="22">
        <v>2.5</v>
      </c>
      <c r="AW84" s="156">
        <f>+DADES_ALTER!AD50</f>
        <v>0</v>
      </c>
      <c r="AX84" s="30">
        <f t="shared" si="47"/>
        <v>0</v>
      </c>
      <c r="AY84" s="156">
        <f>+DADES_ALTER!AE50</f>
        <v>0</v>
      </c>
      <c r="AZ84" s="162" cm="1">
        <f t="array" ref="AZ84">IFERROR(VLOOKUP(AU84,perdues_amb_aillament,_xlfn.IFS(AY84=20,3,AY84=25,4,AY84=30,5,AY84=35,6,AY84=40,7,AY84=45,8,AY84=50,9,AY84=55,10)),)</f>
        <v>0</v>
      </c>
      <c r="BA84" s="30">
        <f t="shared" si="48"/>
        <v>0</v>
      </c>
      <c r="BB84" s="35">
        <f t="shared" si="49"/>
        <v>0</v>
      </c>
      <c r="BC84" s="160" cm="1">
        <f t="array" ref="BC84">IFERROR(VLOOKUP(AU84,cost_aillament,_xlfn.IFS(AY84=20,3,AY84=25,4,AY84=30,5,AY84=35,6,AY84=40,7,AY84=45,8,AY84=50,9,AY84=55,10))*1.3,)</f>
        <v>0</v>
      </c>
      <c r="BD84" s="160">
        <f t="shared" si="50"/>
        <v>0</v>
      </c>
      <c r="BE84" s="198"/>
    </row>
    <row r="85" spans="1:57">
      <c r="A85" s="577"/>
      <c r="B85" s="17">
        <v>80</v>
      </c>
      <c r="C85" s="15">
        <v>3</v>
      </c>
      <c r="D85" s="156">
        <f>+DADES_ALTER!E51</f>
        <v>0</v>
      </c>
      <c r="E85" s="30">
        <f t="shared" si="36"/>
        <v>0</v>
      </c>
      <c r="F85" s="17">
        <f>IFERROR(VLOOKUP(E85,perdues_sense_aillar,10),)</f>
        <v>0</v>
      </c>
      <c r="G85" s="35">
        <f t="shared" si="51"/>
        <v>0</v>
      </c>
      <c r="I85" s="17">
        <v>80</v>
      </c>
      <c r="J85" s="15">
        <v>3</v>
      </c>
      <c r="K85" s="156">
        <f>+DADES_ALTER!H51</f>
        <v>0</v>
      </c>
      <c r="L85" s="30">
        <f t="shared" si="37"/>
        <v>0</v>
      </c>
      <c r="M85" s="156">
        <f>+DADES_ALTER!I51</f>
        <v>0</v>
      </c>
      <c r="N85" s="162" cm="1">
        <f t="array" ref="N85">IFERROR(VLOOKUP(I85,perdues_amb_aillament,_xlfn.IFS(M85=20,3,M85=25,4,M85=30,5,M85=35,6,M85=40,7,M85=45,8,M85=50,9,M85=55,10)),)</f>
        <v>0</v>
      </c>
      <c r="O85" s="30">
        <f t="shared" si="38"/>
        <v>0</v>
      </c>
      <c r="P85" s="35">
        <f t="shared" si="39"/>
        <v>0</v>
      </c>
      <c r="Q85" s="160" cm="1">
        <f t="array" ref="Q85">IFERROR(VLOOKUP(I85,cost_aillament,_xlfn.IFS(M85=20,3,M85=25,4,M85=30,5,M85=35,6,M85=40,7,M85=45,8,M85=50,9,M85=55,10))*1.3,)</f>
        <v>0</v>
      </c>
      <c r="R85" s="160">
        <f t="shared" si="40"/>
        <v>0</v>
      </c>
      <c r="S85" s="198"/>
      <c r="T85" s="577"/>
      <c r="U85" s="17">
        <v>80</v>
      </c>
      <c r="V85" s="15">
        <v>3</v>
      </c>
      <c r="W85" s="156">
        <f>+DADES_ALTER!P51</f>
        <v>0</v>
      </c>
      <c r="X85" s="30">
        <f t="shared" si="41"/>
        <v>0</v>
      </c>
      <c r="Y85" s="17">
        <f>IFERROR(VLOOKUP(X85,perdues_sense_aillar,10),)</f>
        <v>0</v>
      </c>
      <c r="Z85" s="35">
        <f t="shared" si="52"/>
        <v>0</v>
      </c>
      <c r="AB85" s="17">
        <v>80</v>
      </c>
      <c r="AC85" s="15">
        <v>3</v>
      </c>
      <c r="AD85" s="156">
        <f>+DADES_ALTER!S51</f>
        <v>0</v>
      </c>
      <c r="AE85" s="30">
        <f t="shared" si="42"/>
        <v>0</v>
      </c>
      <c r="AF85" s="156">
        <f>+DADES_ALTER!T51</f>
        <v>0</v>
      </c>
      <c r="AG85" s="162" cm="1">
        <f t="array" ref="AG85">IFERROR(VLOOKUP(AB85,perdues_amb_aillament,_xlfn.IFS(AF85=20,3,AF85=25,4,AF85=30,5,AF85=35,6,AF85=40,7,AF85=45,8,AF85=50,9,AF85=55,10)),)</f>
        <v>0</v>
      </c>
      <c r="AH85" s="30">
        <f t="shared" si="43"/>
        <v>0</v>
      </c>
      <c r="AI85" s="35">
        <f t="shared" si="44"/>
        <v>0</v>
      </c>
      <c r="AJ85" s="160" cm="1">
        <f t="array" ref="AJ85">IFERROR(VLOOKUP(AB85,cost_aillament,_xlfn.IFS(AF85=20,3,AF85=25,4,AF85=30,5,AF85=35,6,AF85=40,7,AF85=45,8,AF85=50,9,AF85=55,10))*1.3,)</f>
        <v>0</v>
      </c>
      <c r="AK85" s="160">
        <f t="shared" si="45"/>
        <v>0</v>
      </c>
      <c r="AL85" s="198"/>
      <c r="AM85" s="577"/>
      <c r="AN85" s="17">
        <v>80</v>
      </c>
      <c r="AO85" s="15">
        <v>3</v>
      </c>
      <c r="AP85" s="156">
        <f>+DADES_ALTER!AA51</f>
        <v>0</v>
      </c>
      <c r="AQ85" s="30">
        <f t="shared" si="46"/>
        <v>0</v>
      </c>
      <c r="AR85" s="17">
        <f>IFERROR(VLOOKUP(AQ85,perdues_sense_aillar,10),)</f>
        <v>0</v>
      </c>
      <c r="AS85" s="35">
        <f t="shared" si="53"/>
        <v>0</v>
      </c>
      <c r="AU85" s="17">
        <v>80</v>
      </c>
      <c r="AV85" s="15">
        <v>3</v>
      </c>
      <c r="AW85" s="156">
        <f>+DADES_ALTER!AD51</f>
        <v>0</v>
      </c>
      <c r="AX85" s="30">
        <f t="shared" si="47"/>
        <v>0</v>
      </c>
      <c r="AY85" s="156">
        <f>+DADES_ALTER!AE51</f>
        <v>0</v>
      </c>
      <c r="AZ85" s="162" cm="1">
        <f t="array" ref="AZ85">IFERROR(VLOOKUP(AU85,perdues_amb_aillament,_xlfn.IFS(AY85=20,3,AY85=25,4,AY85=30,5,AY85=35,6,AY85=40,7,AY85=45,8,AY85=50,9,AY85=55,10)),)</f>
        <v>0</v>
      </c>
      <c r="BA85" s="30">
        <f t="shared" si="48"/>
        <v>0</v>
      </c>
      <c r="BB85" s="35">
        <f t="shared" si="49"/>
        <v>0</v>
      </c>
      <c r="BC85" s="160" cm="1">
        <f t="array" ref="BC85">IFERROR(VLOOKUP(AU85,cost_aillament,_xlfn.IFS(AY85=20,3,AY85=25,4,AY85=30,5,AY85=35,6,AY85=40,7,AY85=45,8,AY85=50,9,AY85=55,10))*1.3,)</f>
        <v>0</v>
      </c>
      <c r="BD85" s="160">
        <f t="shared" si="50"/>
        <v>0</v>
      </c>
      <c r="BE85" s="198"/>
    </row>
    <row r="86" spans="1:57">
      <c r="A86" s="577"/>
      <c r="B86" s="17">
        <v>100</v>
      </c>
      <c r="C86" s="15">
        <v>4</v>
      </c>
      <c r="D86" s="156">
        <f>+DADES_ALTER!E52</f>
        <v>0</v>
      </c>
      <c r="E86" s="30">
        <f t="shared" si="36"/>
        <v>0</v>
      </c>
      <c r="F86" s="17">
        <f>IFERROR(VLOOKUP(E86,perdues_sense_aillar,11),)</f>
        <v>0</v>
      </c>
      <c r="G86" s="35">
        <f t="shared" si="51"/>
        <v>0</v>
      </c>
      <c r="I86" s="17">
        <v>100</v>
      </c>
      <c r="J86" s="15">
        <v>4</v>
      </c>
      <c r="K86" s="156">
        <f>+DADES_ALTER!H52</f>
        <v>0</v>
      </c>
      <c r="L86" s="30">
        <f t="shared" si="37"/>
        <v>0</v>
      </c>
      <c r="M86" s="156">
        <f>+DADES_ALTER!I52</f>
        <v>0</v>
      </c>
      <c r="N86" s="162" cm="1">
        <f t="array" ref="N86">IFERROR(VLOOKUP(I86,perdues_amb_aillament,_xlfn.IFS(M86=20,3,M86=25,4,M86=30,5,M86=35,6,M86=40,7,M86=45,8,M86=50,9,M86=55,10)),)</f>
        <v>0</v>
      </c>
      <c r="O86" s="30">
        <f t="shared" si="38"/>
        <v>0</v>
      </c>
      <c r="P86" s="35">
        <f t="shared" si="39"/>
        <v>0</v>
      </c>
      <c r="Q86" s="160" cm="1">
        <f t="array" ref="Q86">IFERROR(VLOOKUP(I86,cost_aillament,_xlfn.IFS(M86=20,3,M86=25,4,M86=30,5,M86=35,6,M86=40,7,M86=45,8,M86=50,9,M86=55,10))*1.3,)</f>
        <v>0</v>
      </c>
      <c r="R86" s="160">
        <f t="shared" si="40"/>
        <v>0</v>
      </c>
      <c r="S86" s="198"/>
      <c r="T86" s="577"/>
      <c r="U86" s="17">
        <v>100</v>
      </c>
      <c r="V86" s="15">
        <v>4</v>
      </c>
      <c r="W86" s="156">
        <f>+DADES_ALTER!P52</f>
        <v>0</v>
      </c>
      <c r="X86" s="30">
        <f t="shared" si="41"/>
        <v>0</v>
      </c>
      <c r="Y86" s="17">
        <f>IFERROR(VLOOKUP(X86,perdues_sense_aillar,11),)</f>
        <v>0</v>
      </c>
      <c r="Z86" s="35">
        <f t="shared" si="52"/>
        <v>0</v>
      </c>
      <c r="AB86" s="17">
        <v>100</v>
      </c>
      <c r="AC86" s="15">
        <v>4</v>
      </c>
      <c r="AD86" s="156">
        <f>+DADES_ALTER!S52</f>
        <v>0</v>
      </c>
      <c r="AE86" s="30">
        <f t="shared" si="42"/>
        <v>0</v>
      </c>
      <c r="AF86" s="156">
        <f>+DADES_ALTER!T52</f>
        <v>0</v>
      </c>
      <c r="AG86" s="162" cm="1">
        <f t="array" ref="AG86">IFERROR(VLOOKUP(AB86,perdues_amb_aillament,_xlfn.IFS(AF86=20,3,AF86=25,4,AF86=30,5,AF86=35,6,AF86=40,7,AF86=45,8,AF86=50,9,AF86=55,10)),)</f>
        <v>0</v>
      </c>
      <c r="AH86" s="30">
        <f t="shared" si="43"/>
        <v>0</v>
      </c>
      <c r="AI86" s="35">
        <f t="shared" si="44"/>
        <v>0</v>
      </c>
      <c r="AJ86" s="160" cm="1">
        <f t="array" ref="AJ86">IFERROR(VLOOKUP(AB86,cost_aillament,_xlfn.IFS(AF86=20,3,AF86=25,4,AF86=30,5,AF86=35,6,AF86=40,7,AF86=45,8,AF86=50,9,AF86=55,10))*1.3,)</f>
        <v>0</v>
      </c>
      <c r="AK86" s="160">
        <f t="shared" si="45"/>
        <v>0</v>
      </c>
      <c r="AL86" s="198"/>
      <c r="AM86" s="577"/>
      <c r="AN86" s="17">
        <v>100</v>
      </c>
      <c r="AO86" s="15">
        <v>4</v>
      </c>
      <c r="AP86" s="156">
        <f>+DADES_ALTER!AA52</f>
        <v>0</v>
      </c>
      <c r="AQ86" s="30">
        <f t="shared" si="46"/>
        <v>0</v>
      </c>
      <c r="AR86" s="17">
        <f>IFERROR(VLOOKUP(AQ86,perdues_sense_aillar,11),)</f>
        <v>0</v>
      </c>
      <c r="AS86" s="35">
        <f t="shared" si="53"/>
        <v>0</v>
      </c>
      <c r="AU86" s="17">
        <v>100</v>
      </c>
      <c r="AV86" s="15">
        <v>4</v>
      </c>
      <c r="AW86" s="156">
        <f>+DADES_ALTER!AD52</f>
        <v>0</v>
      </c>
      <c r="AX86" s="30">
        <f t="shared" si="47"/>
        <v>0</v>
      </c>
      <c r="AY86" s="156">
        <f>+DADES_ALTER!AE52</f>
        <v>0</v>
      </c>
      <c r="AZ86" s="162" cm="1">
        <f t="array" ref="AZ86">IFERROR(VLOOKUP(AU86,perdues_amb_aillament,_xlfn.IFS(AY86=20,3,AY86=25,4,AY86=30,5,AY86=35,6,AY86=40,7,AY86=45,8,AY86=50,9,AY86=55,10)),)</f>
        <v>0</v>
      </c>
      <c r="BA86" s="30">
        <f t="shared" si="48"/>
        <v>0</v>
      </c>
      <c r="BB86" s="35">
        <f t="shared" si="49"/>
        <v>0</v>
      </c>
      <c r="BC86" s="160" cm="1">
        <f t="array" ref="BC86">IFERROR(VLOOKUP(AU86,cost_aillament,_xlfn.IFS(AY86=20,3,AY86=25,4,AY86=30,5,AY86=35,6,AY86=40,7,AY86=45,8,AY86=50,9,AY86=55,10))*1.3,)</f>
        <v>0</v>
      </c>
      <c r="BD86" s="160">
        <f t="shared" si="50"/>
        <v>0</v>
      </c>
      <c r="BE86" s="198"/>
    </row>
    <row r="87" spans="1:57">
      <c r="A87" s="577"/>
      <c r="B87" s="11" t="s">
        <v>24</v>
      </c>
      <c r="C87" s="24"/>
      <c r="D87" s="17">
        <f>SUM(D77:D86)</f>
        <v>0</v>
      </c>
      <c r="E87" s="30">
        <f>IFERROR(SUMPRODUCT(D77:D86,E77:E86)/D87,AVERAGE(E77:E86))</f>
        <v>0</v>
      </c>
      <c r="F87" s="20" t="str">
        <f>IFERROR(G87*1000/D87,"-")</f>
        <v>-</v>
      </c>
      <c r="G87" s="35">
        <f>SUM(G77:G86)</f>
        <v>0</v>
      </c>
      <c r="I87" s="11" t="s">
        <v>24</v>
      </c>
      <c r="J87" s="24"/>
      <c r="K87" s="17">
        <f>SUM(K77:K86)</f>
        <v>0</v>
      </c>
      <c r="L87" s="30">
        <f>IFERROR(SUMPRODUCT(K77:K86,L77:L86)/K87,AVERAGE(L77:L86))</f>
        <v>0</v>
      </c>
      <c r="M87" s="11"/>
      <c r="N87" s="11"/>
      <c r="O87" s="30" t="str">
        <f>+IFERROR(P87*1000/K87,"-")</f>
        <v>-</v>
      </c>
      <c r="P87" s="35">
        <f>SUM(P77:P86)</f>
        <v>0</v>
      </c>
      <c r="Q87" s="160" t="str">
        <f>+IFERROR(R87/K87,"")</f>
        <v/>
      </c>
      <c r="R87" s="160">
        <f>SUM(R77:R86)</f>
        <v>0</v>
      </c>
      <c r="S87" s="198"/>
      <c r="T87" s="577"/>
      <c r="U87" s="11" t="s">
        <v>24</v>
      </c>
      <c r="V87" s="24"/>
      <c r="W87" s="17">
        <f>SUM(W77:W86)</f>
        <v>0</v>
      </c>
      <c r="X87" s="30">
        <f>IFERROR(SUMPRODUCT(W77:W86,X77:X86)/W87,AVERAGE(X77:X86))</f>
        <v>0</v>
      </c>
      <c r="Y87" s="20" t="str">
        <f>IFERROR(Z87*1000/W87,"-")</f>
        <v>-</v>
      </c>
      <c r="Z87" s="35">
        <f>SUM(Z77:Z86)</f>
        <v>0</v>
      </c>
      <c r="AB87" s="11" t="s">
        <v>24</v>
      </c>
      <c r="AC87" s="24"/>
      <c r="AD87" s="17">
        <f>SUM(AD77:AD86)</f>
        <v>0</v>
      </c>
      <c r="AE87" s="30">
        <f>IFERROR(SUMPRODUCT(AD77:AD86,AE77:AE86)/AD87,AVERAGE(AE77:AE86))</f>
        <v>0</v>
      </c>
      <c r="AF87" s="11"/>
      <c r="AG87" s="11"/>
      <c r="AH87" s="30" t="str">
        <f>+IFERROR(AI87*1000/AD87,"-")</f>
        <v>-</v>
      </c>
      <c r="AI87" s="35">
        <f>SUM(AI77:AI86)</f>
        <v>0</v>
      </c>
      <c r="AJ87" s="160" t="str">
        <f>+IFERROR(AK87/AD87,"")</f>
        <v/>
      </c>
      <c r="AK87" s="160">
        <f>SUM(AK77:AK86)</f>
        <v>0</v>
      </c>
      <c r="AL87" s="198"/>
      <c r="AM87" s="577"/>
      <c r="AN87" s="11" t="s">
        <v>24</v>
      </c>
      <c r="AO87" s="24"/>
      <c r="AP87" s="17">
        <f>SUM(AP77:AP86)</f>
        <v>0</v>
      </c>
      <c r="AQ87" s="30">
        <f>IFERROR(SUMPRODUCT(AP77:AP86,AQ77:AQ86)/AP87,AVERAGE(AQ77:AQ86))</f>
        <v>0</v>
      </c>
      <c r="AR87" s="20" t="str">
        <f>IFERROR(AS87*1000/AP87,"-")</f>
        <v>-</v>
      </c>
      <c r="AS87" s="35">
        <f>SUM(AS77:AS86)</f>
        <v>0</v>
      </c>
      <c r="AU87" s="11" t="s">
        <v>24</v>
      </c>
      <c r="AV87" s="24"/>
      <c r="AW87" s="17">
        <f>SUM(AW77:AW86)</f>
        <v>0</v>
      </c>
      <c r="AX87" s="30">
        <f>IFERROR(SUMPRODUCT(AW77:AW86,AX77:AX86)/AW87,AVERAGE(AX77:AX86))</f>
        <v>0</v>
      </c>
      <c r="AY87" s="11"/>
      <c r="AZ87" s="11"/>
      <c r="BA87" s="30" t="str">
        <f>+IFERROR(BB87*1000/AW87,"-")</f>
        <v>-</v>
      </c>
      <c r="BB87" s="35">
        <f>SUM(BB77:BB86)</f>
        <v>0</v>
      </c>
      <c r="BC87" s="160" t="str">
        <f>+IFERROR(BD87/AW87,"")</f>
        <v/>
      </c>
      <c r="BD87" s="160">
        <f>SUM(BD77:BD86)</f>
        <v>0</v>
      </c>
      <c r="BE87" s="198"/>
    </row>
    <row r="88" spans="1:57">
      <c r="S88" s="198"/>
      <c r="AL88" s="198"/>
      <c r="BE88" s="198"/>
    </row>
    <row r="89" spans="1:57" ht="15" thickBot="1">
      <c r="B89" s="2" t="s">
        <v>24</v>
      </c>
      <c r="S89" s="198"/>
      <c r="U89" s="2" t="s">
        <v>24</v>
      </c>
      <c r="AL89" s="198"/>
      <c r="AN89" s="2" t="s">
        <v>24</v>
      </c>
      <c r="BE89" s="198"/>
    </row>
    <row r="90" spans="1:57" ht="43.2">
      <c r="B90" s="13" t="s">
        <v>9</v>
      </c>
      <c r="C90" s="14"/>
      <c r="D90" s="15" t="s">
        <v>34</v>
      </c>
      <c r="E90" s="31" t="s">
        <v>35</v>
      </c>
      <c r="F90" s="31" t="s">
        <v>103</v>
      </c>
      <c r="G90" s="31" t="s">
        <v>36</v>
      </c>
      <c r="I90" s="184" t="s">
        <v>158</v>
      </c>
      <c r="J90" s="185"/>
      <c r="K90" s="185"/>
      <c r="L90" s="185"/>
      <c r="M90" s="186"/>
      <c r="S90" s="198"/>
      <c r="U90" s="13" t="s">
        <v>9</v>
      </c>
      <c r="V90" s="14"/>
      <c r="W90" s="15" t="s">
        <v>34</v>
      </c>
      <c r="X90" s="31" t="s">
        <v>35</v>
      </c>
      <c r="Y90" s="31" t="s">
        <v>103</v>
      </c>
      <c r="Z90" s="31" t="s">
        <v>36</v>
      </c>
      <c r="AB90" s="184" t="s">
        <v>158</v>
      </c>
      <c r="AC90" s="185"/>
      <c r="AD90" s="185"/>
      <c r="AE90" s="185"/>
      <c r="AF90" s="186"/>
      <c r="AL90" s="198"/>
      <c r="AN90" s="13" t="s">
        <v>9</v>
      </c>
      <c r="AO90" s="14"/>
      <c r="AP90" s="15" t="s">
        <v>34</v>
      </c>
      <c r="AQ90" s="31" t="s">
        <v>35</v>
      </c>
      <c r="AR90" s="31" t="s">
        <v>103</v>
      </c>
      <c r="AS90" s="31" t="s">
        <v>36</v>
      </c>
      <c r="AU90" s="184" t="s">
        <v>158</v>
      </c>
      <c r="AV90" s="185"/>
      <c r="AW90" s="185"/>
      <c r="AX90" s="185"/>
      <c r="AY90" s="186"/>
      <c r="BE90" s="198"/>
    </row>
    <row r="91" spans="1:57">
      <c r="B91" s="17" t="s">
        <v>16</v>
      </c>
      <c r="C91" s="17" t="s">
        <v>17</v>
      </c>
      <c r="D91" s="17" t="s">
        <v>18</v>
      </c>
      <c r="E91" s="33" t="s">
        <v>20</v>
      </c>
      <c r="F91" s="33" t="s">
        <v>21</v>
      </c>
      <c r="G91" s="33" t="s">
        <v>37</v>
      </c>
      <c r="I91" s="81" t="s">
        <v>44</v>
      </c>
      <c r="J91" s="9"/>
      <c r="K91" s="9"/>
      <c r="L91" s="9">
        <f>+D102</f>
        <v>0</v>
      </c>
      <c r="M91" s="82" t="s">
        <v>18</v>
      </c>
      <c r="S91" s="198"/>
      <c r="U91" s="17" t="s">
        <v>16</v>
      </c>
      <c r="V91" s="17" t="s">
        <v>17</v>
      </c>
      <c r="W91" s="17" t="s">
        <v>18</v>
      </c>
      <c r="X91" s="33" t="s">
        <v>20</v>
      </c>
      <c r="Y91" s="33" t="s">
        <v>21</v>
      </c>
      <c r="Z91" s="33" t="s">
        <v>37</v>
      </c>
      <c r="AB91" s="81" t="s">
        <v>44</v>
      </c>
      <c r="AC91" s="9"/>
      <c r="AD91" s="9"/>
      <c r="AE91" s="9">
        <f>+W102</f>
        <v>0</v>
      </c>
      <c r="AF91" s="82" t="s">
        <v>18</v>
      </c>
      <c r="AL91" s="198"/>
      <c r="AN91" s="17" t="s">
        <v>16</v>
      </c>
      <c r="AO91" s="17" t="s">
        <v>17</v>
      </c>
      <c r="AP91" s="17" t="s">
        <v>18</v>
      </c>
      <c r="AQ91" s="33" t="s">
        <v>20</v>
      </c>
      <c r="AR91" s="33" t="s">
        <v>21</v>
      </c>
      <c r="AS91" s="33" t="s">
        <v>37</v>
      </c>
      <c r="AU91" s="81" t="s">
        <v>44</v>
      </c>
      <c r="AV91" s="9"/>
      <c r="AW91" s="9"/>
      <c r="AX91" s="9">
        <f>+AP102</f>
        <v>0</v>
      </c>
      <c r="AY91" s="82" t="s">
        <v>18</v>
      </c>
      <c r="BE91" s="198"/>
    </row>
    <row r="92" spans="1:57">
      <c r="B92" s="17">
        <v>15</v>
      </c>
      <c r="C92" s="19" t="s">
        <v>22</v>
      </c>
      <c r="D92" s="36">
        <f t="shared" ref="D92:D101" si="54">+K62+D62+D77+K77</f>
        <v>0</v>
      </c>
      <c r="E92" s="35">
        <f t="shared" ref="E92:E101" si="55">+G62+P62+G77+P77</f>
        <v>0</v>
      </c>
      <c r="F92" s="37" t="e">
        <f>+E92*$H$52/$H$53</f>
        <v>#DIV/0!</v>
      </c>
      <c r="G92" s="160" t="e">
        <f>+F92*$H$54</f>
        <v>#DIV/0!</v>
      </c>
      <c r="I92" s="81" t="s">
        <v>45</v>
      </c>
      <c r="J92" s="9"/>
      <c r="K92" s="56"/>
      <c r="L92" s="56">
        <f>IFERROR(E102/D102*1000,)</f>
        <v>0</v>
      </c>
      <c r="M92" s="82" t="s">
        <v>19</v>
      </c>
      <c r="S92" s="198"/>
      <c r="U92" s="17">
        <v>15</v>
      </c>
      <c r="V92" s="19" t="s">
        <v>22</v>
      </c>
      <c r="W92" s="36">
        <f t="shared" ref="W92:W101" si="56">+AD62+W62+W77+AD77</f>
        <v>0</v>
      </c>
      <c r="X92" s="35">
        <f t="shared" ref="X92:X101" si="57">+Z62+AI62+Z77+AI77</f>
        <v>0</v>
      </c>
      <c r="Y92" s="37" t="e">
        <f>+X92*$AA$52/$AA$53</f>
        <v>#DIV/0!</v>
      </c>
      <c r="Z92" s="160" t="e">
        <f>+Y92*$AA$54</f>
        <v>#DIV/0!</v>
      </c>
      <c r="AB92" s="81" t="s">
        <v>45</v>
      </c>
      <c r="AC92" s="9"/>
      <c r="AD92" s="56"/>
      <c r="AE92" s="56">
        <f>IFERROR(X102/W102*1000,)</f>
        <v>0</v>
      </c>
      <c r="AF92" s="82" t="s">
        <v>19</v>
      </c>
      <c r="AL92" s="198"/>
      <c r="AN92" s="17">
        <v>15</v>
      </c>
      <c r="AO92" s="19" t="s">
        <v>22</v>
      </c>
      <c r="AP92" s="36">
        <f t="shared" ref="AP92:AP101" si="58">+AW62+AP62+AP77+AW77</f>
        <v>0</v>
      </c>
      <c r="AQ92" s="35">
        <f t="shared" ref="AQ92:AQ101" si="59">+AS62+BB62+AS77+BB77</f>
        <v>0</v>
      </c>
      <c r="AR92" s="37" t="e">
        <f>+AQ92*$AT$52/$AT$53</f>
        <v>#DIV/0!</v>
      </c>
      <c r="AS92" s="160" t="e">
        <f>+AR92*$AT$54</f>
        <v>#DIV/0!</v>
      </c>
      <c r="AU92" s="81" t="s">
        <v>45</v>
      </c>
      <c r="AV92" s="9"/>
      <c r="AW92" s="56"/>
      <c r="AX92" s="56">
        <f>IFERROR(AQ102/AP102*1000,)</f>
        <v>0</v>
      </c>
      <c r="AY92" s="82" t="s">
        <v>19</v>
      </c>
      <c r="BE92" s="198"/>
    </row>
    <row r="93" spans="1:57">
      <c r="B93" s="17">
        <v>22</v>
      </c>
      <c r="C93" s="21" t="s">
        <v>23</v>
      </c>
      <c r="D93" s="36">
        <f t="shared" si="54"/>
        <v>0</v>
      </c>
      <c r="E93" s="35">
        <f t="shared" si="55"/>
        <v>0</v>
      </c>
      <c r="F93" s="37" t="e">
        <f t="shared" ref="F93:F101" si="60">+E93*$H$52/$H$53</f>
        <v>#DIV/0!</v>
      </c>
      <c r="G93" s="160" t="e">
        <f t="shared" ref="G93:G101" si="61">+F93*$H$54</f>
        <v>#DIV/0!</v>
      </c>
      <c r="I93" s="81" t="s">
        <v>105</v>
      </c>
      <c r="J93" s="9"/>
      <c r="K93" s="62"/>
      <c r="L93" s="62">
        <f>+E102</f>
        <v>0</v>
      </c>
      <c r="M93" s="82" t="s">
        <v>20</v>
      </c>
      <c r="S93" s="198"/>
      <c r="U93" s="17">
        <v>22</v>
      </c>
      <c r="V93" s="21" t="s">
        <v>23</v>
      </c>
      <c r="W93" s="36">
        <f t="shared" si="56"/>
        <v>0</v>
      </c>
      <c r="X93" s="35">
        <f t="shared" si="57"/>
        <v>0</v>
      </c>
      <c r="Y93" s="37" t="e">
        <f t="shared" ref="Y93:Y101" si="62">+X93*$AA$52/$AA$53</f>
        <v>#DIV/0!</v>
      </c>
      <c r="Z93" s="160" t="e">
        <f t="shared" ref="Z93:Z101" si="63">+Y93*$AA$54</f>
        <v>#DIV/0!</v>
      </c>
      <c r="AB93" s="81" t="s">
        <v>105</v>
      </c>
      <c r="AC93" s="9"/>
      <c r="AD93" s="62"/>
      <c r="AE93" s="62">
        <f>+X102</f>
        <v>0</v>
      </c>
      <c r="AF93" s="82" t="s">
        <v>20</v>
      </c>
      <c r="AL93" s="198"/>
      <c r="AN93" s="17">
        <v>22</v>
      </c>
      <c r="AO93" s="21" t="s">
        <v>23</v>
      </c>
      <c r="AP93" s="36">
        <f t="shared" si="58"/>
        <v>0</v>
      </c>
      <c r="AQ93" s="35">
        <f t="shared" si="59"/>
        <v>0</v>
      </c>
      <c r="AR93" s="37" t="e">
        <f t="shared" ref="AR93:AR101" si="64">+AQ93*$AT$52/$AT$53</f>
        <v>#DIV/0!</v>
      </c>
      <c r="AS93" s="160" t="e">
        <f t="shared" ref="AS93:AS101" si="65">+AR93*$AT$54</f>
        <v>#DIV/0!</v>
      </c>
      <c r="AU93" s="81" t="s">
        <v>105</v>
      </c>
      <c r="AV93" s="9"/>
      <c r="AW93" s="62"/>
      <c r="AX93" s="62">
        <f>+AQ102</f>
        <v>0</v>
      </c>
      <c r="AY93" s="82" t="s">
        <v>20</v>
      </c>
      <c r="BE93" s="198"/>
    </row>
    <row r="94" spans="1:57">
      <c r="B94" s="17">
        <v>28</v>
      </c>
      <c r="C94" s="15">
        <v>1</v>
      </c>
      <c r="D94" s="36">
        <f t="shared" si="54"/>
        <v>0</v>
      </c>
      <c r="E94" s="35">
        <f t="shared" si="55"/>
        <v>0</v>
      </c>
      <c r="F94" s="37" t="e">
        <f t="shared" si="60"/>
        <v>#DIV/0!</v>
      </c>
      <c r="G94" s="160" t="e">
        <f t="shared" si="61"/>
        <v>#DIV/0!</v>
      </c>
      <c r="I94" s="81" t="s">
        <v>349</v>
      </c>
      <c r="J94" s="9"/>
      <c r="K94" s="56"/>
      <c r="L94" s="56">
        <f>IFERROR((L72*K72+E72*D72+D87*E87+K87*L87)/D102,)</f>
        <v>0</v>
      </c>
      <c r="M94" s="82" t="s">
        <v>1</v>
      </c>
      <c r="S94" s="198"/>
      <c r="U94" s="17">
        <v>28</v>
      </c>
      <c r="V94" s="15">
        <v>1</v>
      </c>
      <c r="W94" s="36">
        <f t="shared" si="56"/>
        <v>0</v>
      </c>
      <c r="X94" s="35">
        <f t="shared" si="57"/>
        <v>0</v>
      </c>
      <c r="Y94" s="37" t="e">
        <f t="shared" si="62"/>
        <v>#DIV/0!</v>
      </c>
      <c r="Z94" s="160" t="e">
        <f t="shared" si="63"/>
        <v>#DIV/0!</v>
      </c>
      <c r="AB94" s="81" t="s">
        <v>349</v>
      </c>
      <c r="AC94" s="9"/>
      <c r="AD94" s="56"/>
      <c r="AE94" s="56">
        <f>IFERROR((AE72*AD72+X72*W72+W87*X87+AD87*AE87)/W102,)</f>
        <v>0</v>
      </c>
      <c r="AF94" s="82" t="s">
        <v>1</v>
      </c>
      <c r="AL94" s="198"/>
      <c r="AN94" s="17">
        <v>28</v>
      </c>
      <c r="AO94" s="15">
        <v>1</v>
      </c>
      <c r="AP94" s="36">
        <f t="shared" si="58"/>
        <v>0</v>
      </c>
      <c r="AQ94" s="35">
        <f t="shared" si="59"/>
        <v>0</v>
      </c>
      <c r="AR94" s="37" t="e">
        <f t="shared" si="64"/>
        <v>#DIV/0!</v>
      </c>
      <c r="AS94" s="160" t="e">
        <f t="shared" si="65"/>
        <v>#DIV/0!</v>
      </c>
      <c r="AU94" s="81" t="s">
        <v>349</v>
      </c>
      <c r="AV94" s="9"/>
      <c r="AW94" s="56"/>
      <c r="AX94" s="56">
        <f>IFERROR((AX72*AW72+AQ72*AP72+AP87*AQ87+AW87*AX87)/AP102,)</f>
        <v>0</v>
      </c>
      <c r="AY94" s="82" t="s">
        <v>1</v>
      </c>
      <c r="BE94" s="198"/>
    </row>
    <row r="95" spans="1:57">
      <c r="B95" s="17">
        <v>35</v>
      </c>
      <c r="C95" s="22">
        <v>1.25</v>
      </c>
      <c r="D95" s="36">
        <f t="shared" si="54"/>
        <v>0</v>
      </c>
      <c r="E95" s="35">
        <f t="shared" si="55"/>
        <v>0</v>
      </c>
      <c r="F95" s="37" t="e">
        <f t="shared" si="60"/>
        <v>#DIV/0!</v>
      </c>
      <c r="G95" s="160" t="e">
        <f t="shared" si="61"/>
        <v>#DIV/0!</v>
      </c>
      <c r="I95" s="81" t="s">
        <v>289</v>
      </c>
      <c r="J95" s="9"/>
      <c r="K95" s="62"/>
      <c r="L95" s="62">
        <f>IFERROR(L93*1000/L94,)</f>
        <v>0</v>
      </c>
      <c r="M95" s="82" t="s">
        <v>288</v>
      </c>
      <c r="S95" s="198"/>
      <c r="U95" s="17">
        <v>35</v>
      </c>
      <c r="V95" s="22">
        <v>1.25</v>
      </c>
      <c r="W95" s="36">
        <f t="shared" si="56"/>
        <v>0</v>
      </c>
      <c r="X95" s="35">
        <f t="shared" si="57"/>
        <v>0</v>
      </c>
      <c r="Y95" s="37" t="e">
        <f t="shared" si="62"/>
        <v>#DIV/0!</v>
      </c>
      <c r="Z95" s="160" t="e">
        <f t="shared" si="63"/>
        <v>#DIV/0!</v>
      </c>
      <c r="AB95" s="81" t="s">
        <v>289</v>
      </c>
      <c r="AC95" s="9"/>
      <c r="AD95" s="62"/>
      <c r="AE95" s="62">
        <f>IFERROR(AE93*1000/AE94,)</f>
        <v>0</v>
      </c>
      <c r="AF95" s="82" t="s">
        <v>288</v>
      </c>
      <c r="AL95" s="198"/>
      <c r="AN95" s="17">
        <v>35</v>
      </c>
      <c r="AO95" s="22">
        <v>1.25</v>
      </c>
      <c r="AP95" s="36">
        <f t="shared" si="58"/>
        <v>0</v>
      </c>
      <c r="AQ95" s="35">
        <f t="shared" si="59"/>
        <v>0</v>
      </c>
      <c r="AR95" s="37" t="e">
        <f t="shared" si="64"/>
        <v>#DIV/0!</v>
      </c>
      <c r="AS95" s="160" t="e">
        <f t="shared" si="65"/>
        <v>#DIV/0!</v>
      </c>
      <c r="AU95" s="81" t="s">
        <v>289</v>
      </c>
      <c r="AV95" s="9"/>
      <c r="AW95" s="62"/>
      <c r="AX95" s="62">
        <f>IFERROR(AX93*1000/AX94,)</f>
        <v>0</v>
      </c>
      <c r="AY95" s="82" t="s">
        <v>288</v>
      </c>
      <c r="BE95" s="198"/>
    </row>
    <row r="96" spans="1:57">
      <c r="B96" s="17">
        <v>42</v>
      </c>
      <c r="C96" s="22">
        <v>1.5</v>
      </c>
      <c r="D96" s="36">
        <f t="shared" si="54"/>
        <v>0</v>
      </c>
      <c r="E96" s="35">
        <f t="shared" si="55"/>
        <v>0</v>
      </c>
      <c r="F96" s="37" t="e">
        <f t="shared" si="60"/>
        <v>#DIV/0!</v>
      </c>
      <c r="G96" s="160" t="e">
        <f t="shared" si="61"/>
        <v>#DIV/0!</v>
      </c>
      <c r="I96" s="88" t="s">
        <v>157</v>
      </c>
      <c r="J96" s="53"/>
      <c r="K96" s="54"/>
      <c r="L96" s="54" t="e">
        <f>+F102</f>
        <v>#DIV/0!</v>
      </c>
      <c r="M96" s="89" t="s">
        <v>32</v>
      </c>
      <c r="S96" s="198"/>
      <c r="U96" s="17">
        <v>42</v>
      </c>
      <c r="V96" s="22">
        <v>1.5</v>
      </c>
      <c r="W96" s="36">
        <f t="shared" si="56"/>
        <v>0</v>
      </c>
      <c r="X96" s="35">
        <f t="shared" si="57"/>
        <v>0</v>
      </c>
      <c r="Y96" s="37" t="e">
        <f t="shared" si="62"/>
        <v>#DIV/0!</v>
      </c>
      <c r="Z96" s="160" t="e">
        <f t="shared" si="63"/>
        <v>#DIV/0!</v>
      </c>
      <c r="AB96" s="88" t="s">
        <v>157</v>
      </c>
      <c r="AC96" s="53"/>
      <c r="AD96" s="54"/>
      <c r="AE96" s="54" t="e">
        <f>+Y102</f>
        <v>#DIV/0!</v>
      </c>
      <c r="AF96" s="89" t="s">
        <v>32</v>
      </c>
      <c r="AL96" s="198"/>
      <c r="AN96" s="17">
        <v>42</v>
      </c>
      <c r="AO96" s="22">
        <v>1.5</v>
      </c>
      <c r="AP96" s="36">
        <f t="shared" si="58"/>
        <v>0</v>
      </c>
      <c r="AQ96" s="35">
        <f t="shared" si="59"/>
        <v>0</v>
      </c>
      <c r="AR96" s="37" t="e">
        <f t="shared" si="64"/>
        <v>#DIV/0!</v>
      </c>
      <c r="AS96" s="160" t="e">
        <f t="shared" si="65"/>
        <v>#DIV/0!</v>
      </c>
      <c r="AU96" s="88" t="s">
        <v>157</v>
      </c>
      <c r="AV96" s="53"/>
      <c r="AW96" s="54"/>
      <c r="AX96" s="54" t="e">
        <f>+AR102</f>
        <v>#DIV/0!</v>
      </c>
      <c r="AY96" s="89" t="s">
        <v>32</v>
      </c>
      <c r="BE96" s="198"/>
    </row>
    <row r="97" spans="2:57">
      <c r="B97" s="17">
        <v>48</v>
      </c>
      <c r="C97" s="15">
        <v>2</v>
      </c>
      <c r="D97" s="36">
        <f t="shared" si="54"/>
        <v>0</v>
      </c>
      <c r="E97" s="35">
        <f t="shared" si="55"/>
        <v>0</v>
      </c>
      <c r="F97" s="37" t="e">
        <f t="shared" si="60"/>
        <v>#DIV/0!</v>
      </c>
      <c r="G97" s="160" t="e">
        <f t="shared" si="61"/>
        <v>#DIV/0!</v>
      </c>
      <c r="I97" s="81" t="s">
        <v>359</v>
      </c>
      <c r="J97" s="9"/>
      <c r="K97" s="51"/>
      <c r="L97" s="51" t="e">
        <f>L51+L96/$D$6*$D$11</f>
        <v>#DIV/0!</v>
      </c>
      <c r="M97" s="187" t="s">
        <v>32</v>
      </c>
      <c r="S97" s="198"/>
      <c r="U97" s="17">
        <v>48</v>
      </c>
      <c r="V97" s="15">
        <v>2</v>
      </c>
      <c r="W97" s="36">
        <f t="shared" si="56"/>
        <v>0</v>
      </c>
      <c r="X97" s="35">
        <f t="shared" si="57"/>
        <v>0</v>
      </c>
      <c r="Y97" s="37" t="e">
        <f t="shared" si="62"/>
        <v>#DIV/0!</v>
      </c>
      <c r="Z97" s="160" t="e">
        <f t="shared" si="63"/>
        <v>#DIV/0!</v>
      </c>
      <c r="AB97" s="81" t="s">
        <v>359</v>
      </c>
      <c r="AC97" s="9"/>
      <c r="AD97" s="51"/>
      <c r="AE97" s="51" t="e">
        <f>AE51+AE96/W6*W11</f>
        <v>#DIV/0!</v>
      </c>
      <c r="AF97" s="187" t="s">
        <v>32</v>
      </c>
      <c r="AL97" s="198"/>
      <c r="AN97" s="17">
        <v>48</v>
      </c>
      <c r="AO97" s="15">
        <v>2</v>
      </c>
      <c r="AP97" s="36">
        <f t="shared" si="58"/>
        <v>0</v>
      </c>
      <c r="AQ97" s="35">
        <f t="shared" si="59"/>
        <v>0</v>
      </c>
      <c r="AR97" s="37" t="e">
        <f t="shared" si="64"/>
        <v>#DIV/0!</v>
      </c>
      <c r="AS97" s="160" t="e">
        <f t="shared" si="65"/>
        <v>#DIV/0!</v>
      </c>
      <c r="AU97" s="81" t="s">
        <v>359</v>
      </c>
      <c r="AV97" s="9"/>
      <c r="AW97" s="51"/>
      <c r="AX97" s="51" t="e">
        <f>AX51+AX96/AP6*AP11</f>
        <v>#DIV/0!</v>
      </c>
      <c r="AY97" s="187" t="s">
        <v>32</v>
      </c>
      <c r="BE97" s="198"/>
    </row>
    <row r="98" spans="2:57">
      <c r="B98" s="17">
        <v>54</v>
      </c>
      <c r="C98" s="15">
        <v>2</v>
      </c>
      <c r="D98" s="36">
        <f t="shared" si="54"/>
        <v>0</v>
      </c>
      <c r="E98" s="35">
        <f t="shared" si="55"/>
        <v>0</v>
      </c>
      <c r="F98" s="37" t="e">
        <f t="shared" si="60"/>
        <v>#DIV/0!</v>
      </c>
      <c r="G98" s="160" t="e">
        <f t="shared" si="61"/>
        <v>#DIV/0!</v>
      </c>
      <c r="I98" s="81" t="s">
        <v>363</v>
      </c>
      <c r="J98" s="9"/>
      <c r="K98" s="51"/>
      <c r="L98" s="51" t="e">
        <f>+L96*$D$9+L97*$D$12</f>
        <v>#DIV/0!</v>
      </c>
      <c r="M98" s="82" t="s">
        <v>37</v>
      </c>
      <c r="S98" s="198"/>
      <c r="U98" s="17">
        <v>54</v>
      </c>
      <c r="V98" s="15">
        <v>2</v>
      </c>
      <c r="W98" s="36">
        <f t="shared" si="56"/>
        <v>0</v>
      </c>
      <c r="X98" s="35">
        <f t="shared" si="57"/>
        <v>0</v>
      </c>
      <c r="Y98" s="37" t="e">
        <f t="shared" si="62"/>
        <v>#DIV/0!</v>
      </c>
      <c r="Z98" s="160" t="e">
        <f t="shared" si="63"/>
        <v>#DIV/0!</v>
      </c>
      <c r="AB98" s="81" t="s">
        <v>363</v>
      </c>
      <c r="AC98" s="9"/>
      <c r="AD98" s="51"/>
      <c r="AE98" s="51" t="e">
        <f>+AE96*W9+AE97*W12</f>
        <v>#DIV/0!</v>
      </c>
      <c r="AF98" s="82" t="s">
        <v>37</v>
      </c>
      <c r="AL98" s="198"/>
      <c r="AN98" s="17">
        <v>54</v>
      </c>
      <c r="AO98" s="15">
        <v>2</v>
      </c>
      <c r="AP98" s="36">
        <f t="shared" si="58"/>
        <v>0</v>
      </c>
      <c r="AQ98" s="35">
        <f t="shared" si="59"/>
        <v>0</v>
      </c>
      <c r="AR98" s="37" t="e">
        <f t="shared" si="64"/>
        <v>#DIV/0!</v>
      </c>
      <c r="AS98" s="160" t="e">
        <f t="shared" si="65"/>
        <v>#DIV/0!</v>
      </c>
      <c r="AU98" s="81" t="s">
        <v>363</v>
      </c>
      <c r="AV98" s="9"/>
      <c r="AW98" s="51"/>
      <c r="AX98" s="51" t="e">
        <f>+AX96*AP9+AX97*AP12</f>
        <v>#DIV/0!</v>
      </c>
      <c r="AY98" s="82" t="s">
        <v>37</v>
      </c>
      <c r="BE98" s="198"/>
    </row>
    <row r="99" spans="2:57">
      <c r="B99" s="17">
        <v>64</v>
      </c>
      <c r="C99" s="22">
        <v>2.5</v>
      </c>
      <c r="D99" s="36">
        <f t="shared" si="54"/>
        <v>0</v>
      </c>
      <c r="E99" s="35">
        <f t="shared" si="55"/>
        <v>0</v>
      </c>
      <c r="F99" s="37" t="e">
        <f t="shared" si="60"/>
        <v>#DIV/0!</v>
      </c>
      <c r="G99" s="160" t="e">
        <f t="shared" si="61"/>
        <v>#DIV/0!</v>
      </c>
      <c r="I99" s="81" t="s">
        <v>364</v>
      </c>
      <c r="J99" s="9"/>
      <c r="K99" s="51"/>
      <c r="L99" s="51" t="e">
        <f>+L96*$D$10+L97*$D$13</f>
        <v>#DIV/0!</v>
      </c>
      <c r="M99" s="82" t="s">
        <v>65</v>
      </c>
      <c r="S99" s="198"/>
      <c r="U99" s="17">
        <v>64</v>
      </c>
      <c r="V99" s="22">
        <v>2.5</v>
      </c>
      <c r="W99" s="36">
        <f t="shared" si="56"/>
        <v>0</v>
      </c>
      <c r="X99" s="35">
        <f t="shared" si="57"/>
        <v>0</v>
      </c>
      <c r="Y99" s="37" t="e">
        <f t="shared" si="62"/>
        <v>#DIV/0!</v>
      </c>
      <c r="Z99" s="160" t="e">
        <f t="shared" si="63"/>
        <v>#DIV/0!</v>
      </c>
      <c r="AB99" s="81" t="s">
        <v>364</v>
      </c>
      <c r="AC99" s="9"/>
      <c r="AD99" s="51"/>
      <c r="AE99" s="51" t="e">
        <f>+AE96*W10+AE97*W13</f>
        <v>#DIV/0!</v>
      </c>
      <c r="AF99" s="82" t="s">
        <v>65</v>
      </c>
      <c r="AL99" s="198"/>
      <c r="AN99" s="17">
        <v>64</v>
      </c>
      <c r="AO99" s="22">
        <v>2.5</v>
      </c>
      <c r="AP99" s="36">
        <f t="shared" si="58"/>
        <v>0</v>
      </c>
      <c r="AQ99" s="35">
        <f t="shared" si="59"/>
        <v>0</v>
      </c>
      <c r="AR99" s="37" t="e">
        <f t="shared" si="64"/>
        <v>#DIV/0!</v>
      </c>
      <c r="AS99" s="160" t="e">
        <f t="shared" si="65"/>
        <v>#DIV/0!</v>
      </c>
      <c r="AU99" s="81" t="s">
        <v>364</v>
      </c>
      <c r="AV99" s="9"/>
      <c r="AW99" s="51"/>
      <c r="AX99" s="51" t="e">
        <f>+AX96*AP10+AX97*AP13</f>
        <v>#DIV/0!</v>
      </c>
      <c r="AY99" s="82" t="s">
        <v>65</v>
      </c>
      <c r="BE99" s="198"/>
    </row>
    <row r="100" spans="2:57" ht="15" thickBot="1">
      <c r="B100" s="17">
        <v>80</v>
      </c>
      <c r="C100" s="15">
        <v>3</v>
      </c>
      <c r="D100" s="36">
        <f t="shared" si="54"/>
        <v>0</v>
      </c>
      <c r="E100" s="35">
        <f t="shared" si="55"/>
        <v>0</v>
      </c>
      <c r="F100" s="37" t="e">
        <f t="shared" si="60"/>
        <v>#DIV/0!</v>
      </c>
      <c r="G100" s="160" t="e">
        <f t="shared" si="61"/>
        <v>#DIV/0!</v>
      </c>
      <c r="I100" s="83" t="s">
        <v>1056</v>
      </c>
      <c r="J100" s="84"/>
      <c r="K100" s="85"/>
      <c r="L100" s="85">
        <f>+R72+R87</f>
        <v>0</v>
      </c>
      <c r="M100" s="188" t="s">
        <v>43</v>
      </c>
      <c r="S100" s="198"/>
      <c r="U100" s="17">
        <v>80</v>
      </c>
      <c r="V100" s="15">
        <v>3</v>
      </c>
      <c r="W100" s="36">
        <f t="shared" si="56"/>
        <v>0</v>
      </c>
      <c r="X100" s="35">
        <f t="shared" si="57"/>
        <v>0</v>
      </c>
      <c r="Y100" s="37" t="e">
        <f t="shared" si="62"/>
        <v>#DIV/0!</v>
      </c>
      <c r="Z100" s="160" t="e">
        <f t="shared" si="63"/>
        <v>#DIV/0!</v>
      </c>
      <c r="AB100" s="83" t="s">
        <v>1056</v>
      </c>
      <c r="AC100" s="84"/>
      <c r="AD100" s="85"/>
      <c r="AE100" s="85">
        <f>+AK72+AK87</f>
        <v>0</v>
      </c>
      <c r="AF100" s="188" t="s">
        <v>43</v>
      </c>
      <c r="AL100" s="198"/>
      <c r="AN100" s="17">
        <v>80</v>
      </c>
      <c r="AO100" s="15">
        <v>3</v>
      </c>
      <c r="AP100" s="36">
        <f t="shared" si="58"/>
        <v>0</v>
      </c>
      <c r="AQ100" s="35">
        <f t="shared" si="59"/>
        <v>0</v>
      </c>
      <c r="AR100" s="37" t="e">
        <f t="shared" si="64"/>
        <v>#DIV/0!</v>
      </c>
      <c r="AS100" s="160" t="e">
        <f t="shared" si="65"/>
        <v>#DIV/0!</v>
      </c>
      <c r="AU100" s="83" t="s">
        <v>1056</v>
      </c>
      <c r="AV100" s="84"/>
      <c r="AW100" s="85"/>
      <c r="AX100" s="85">
        <f>+BD72+BD87</f>
        <v>0</v>
      </c>
      <c r="AY100" s="188" t="s">
        <v>43</v>
      </c>
      <c r="BE100" s="198"/>
    </row>
    <row r="101" spans="2:57">
      <c r="B101" s="17">
        <v>100</v>
      </c>
      <c r="C101" s="15">
        <v>4</v>
      </c>
      <c r="D101" s="36">
        <f t="shared" si="54"/>
        <v>0</v>
      </c>
      <c r="E101" s="35">
        <f t="shared" si="55"/>
        <v>0</v>
      </c>
      <c r="F101" s="37" t="e">
        <f t="shared" si="60"/>
        <v>#DIV/0!</v>
      </c>
      <c r="G101" s="160" t="e">
        <f t="shared" si="61"/>
        <v>#DIV/0!</v>
      </c>
      <c r="S101" s="198"/>
      <c r="U101" s="17">
        <v>100</v>
      </c>
      <c r="V101" s="15">
        <v>4</v>
      </c>
      <c r="W101" s="36">
        <f t="shared" si="56"/>
        <v>0</v>
      </c>
      <c r="X101" s="35">
        <f t="shared" si="57"/>
        <v>0</v>
      </c>
      <c r="Y101" s="37" t="e">
        <f t="shared" si="62"/>
        <v>#DIV/0!</v>
      </c>
      <c r="Z101" s="160" t="e">
        <f t="shared" si="63"/>
        <v>#DIV/0!</v>
      </c>
      <c r="AL101" s="198"/>
      <c r="AN101" s="17">
        <v>100</v>
      </c>
      <c r="AO101" s="15">
        <v>4</v>
      </c>
      <c r="AP101" s="36">
        <f t="shared" si="58"/>
        <v>0</v>
      </c>
      <c r="AQ101" s="35">
        <f t="shared" si="59"/>
        <v>0</v>
      </c>
      <c r="AR101" s="37" t="e">
        <f t="shared" si="64"/>
        <v>#DIV/0!</v>
      </c>
      <c r="AS101" s="160" t="e">
        <f t="shared" si="65"/>
        <v>#DIV/0!</v>
      </c>
      <c r="BE101" s="198"/>
    </row>
    <row r="102" spans="2:57">
      <c r="B102" s="90" t="s">
        <v>24</v>
      </c>
      <c r="C102" s="57"/>
      <c r="D102" s="58">
        <f>SUM(D92:D101)</f>
        <v>0</v>
      </c>
      <c r="E102" s="59">
        <f>SUM(E92:E101)</f>
        <v>0</v>
      </c>
      <c r="F102" s="60" t="e">
        <f>SUM(F92:F101)</f>
        <v>#DIV/0!</v>
      </c>
      <c r="G102" s="161" t="e">
        <f>SUM(G92:G101)</f>
        <v>#DIV/0!</v>
      </c>
      <c r="S102" s="198"/>
      <c r="U102" s="90" t="s">
        <v>24</v>
      </c>
      <c r="V102" s="57"/>
      <c r="W102" s="58">
        <f>SUM(W92:W101)</f>
        <v>0</v>
      </c>
      <c r="X102" s="59">
        <f>SUM(X92:X101)</f>
        <v>0</v>
      </c>
      <c r="Y102" s="60" t="e">
        <f>SUM(Y92:Y101)</f>
        <v>#DIV/0!</v>
      </c>
      <c r="Z102" s="161" t="e">
        <f>SUM(Z92:Z101)</f>
        <v>#DIV/0!</v>
      </c>
      <c r="AL102" s="198"/>
      <c r="AN102" s="90" t="s">
        <v>24</v>
      </c>
      <c r="AO102" s="57"/>
      <c r="AP102" s="58">
        <f>SUM(AP92:AP101)</f>
        <v>0</v>
      </c>
      <c r="AQ102" s="59">
        <f>SUM(AQ92:AQ101)</f>
        <v>0</v>
      </c>
      <c r="AR102" s="60" t="e">
        <f>SUM(AR92:AR101)</f>
        <v>#DIV/0!</v>
      </c>
      <c r="AS102" s="161" t="e">
        <f>SUM(AS92:AS101)</f>
        <v>#DIV/0!</v>
      </c>
      <c r="BE102" s="198"/>
    </row>
    <row r="103" spans="2:57">
      <c r="S103" s="198"/>
      <c r="AL103" s="198"/>
      <c r="BE103" s="198"/>
    </row>
    <row r="104" spans="2:57">
      <c r="B104" s="1" t="s">
        <v>417</v>
      </c>
      <c r="C104" s="1"/>
      <c r="D104" s="1"/>
      <c r="E104" s="1"/>
      <c r="F104" s="1"/>
      <c r="G104" s="1"/>
      <c r="H104" s="1"/>
      <c r="I104" s="1"/>
      <c r="J104" s="1"/>
      <c r="K104" s="1"/>
      <c r="L104" s="1"/>
      <c r="M104" s="1"/>
      <c r="N104" s="1"/>
      <c r="O104" s="1"/>
      <c r="P104" s="1"/>
      <c r="Q104" s="1"/>
      <c r="R104" s="1"/>
      <c r="S104" s="198"/>
      <c r="U104" s="1" t="s">
        <v>417</v>
      </c>
      <c r="V104" s="1"/>
      <c r="W104" s="1"/>
      <c r="X104" s="1"/>
      <c r="Y104" s="1"/>
      <c r="Z104" s="1"/>
      <c r="AA104" s="1"/>
      <c r="AB104" s="1"/>
      <c r="AC104" s="1"/>
      <c r="AD104" s="1"/>
      <c r="AE104" s="1"/>
      <c r="AF104" s="1"/>
      <c r="AG104" s="1"/>
      <c r="AH104" s="1"/>
      <c r="AI104" s="1"/>
      <c r="AJ104" s="1"/>
      <c r="AK104" s="1"/>
      <c r="AL104" s="198"/>
      <c r="AN104" s="1" t="s">
        <v>417</v>
      </c>
      <c r="AO104" s="1"/>
      <c r="AP104" s="1"/>
      <c r="AQ104" s="1"/>
      <c r="AR104" s="1"/>
      <c r="AS104" s="1"/>
      <c r="AT104" s="1"/>
      <c r="AU104" s="1"/>
      <c r="AV104" s="1"/>
      <c r="AW104" s="1"/>
      <c r="AX104" s="1"/>
      <c r="AY104" s="1"/>
      <c r="AZ104" s="1"/>
      <c r="BA104" s="1"/>
      <c r="BB104" s="1"/>
      <c r="BC104" s="1"/>
      <c r="BD104" s="1"/>
      <c r="BE104" s="198"/>
    </row>
    <row r="105" spans="2:57">
      <c r="B105" s="3" t="s">
        <v>418</v>
      </c>
      <c r="D105" s="154">
        <f>+DADES_ALTER!D62</f>
        <v>0</v>
      </c>
      <c r="E105" s="3" t="s">
        <v>43</v>
      </c>
      <c r="F105" s="23"/>
      <c r="S105" s="198"/>
      <c r="U105" s="3" t="s">
        <v>418</v>
      </c>
      <c r="W105" s="154">
        <f>+DADES_ALTER!O62</f>
        <v>0</v>
      </c>
      <c r="X105" s="3" t="s">
        <v>43</v>
      </c>
      <c r="AL105" s="198"/>
      <c r="AN105" s="3" t="s">
        <v>418</v>
      </c>
      <c r="AP105" s="154">
        <f>+DADES_ALTER!Z62</f>
        <v>0</v>
      </c>
      <c r="AQ105" s="3" t="s">
        <v>43</v>
      </c>
      <c r="BE105" s="198"/>
    </row>
    <row r="106" spans="2:57">
      <c r="B106" s="3" t="s">
        <v>419</v>
      </c>
      <c r="D106" s="154">
        <f>+DADES_ALTER!D63</f>
        <v>0</v>
      </c>
      <c r="E106" s="3" t="s">
        <v>37</v>
      </c>
      <c r="S106" s="198"/>
      <c r="U106" s="3" t="s">
        <v>419</v>
      </c>
      <c r="W106" s="154">
        <f>+DADES_ALTER!O63</f>
        <v>0</v>
      </c>
      <c r="X106" s="3" t="s">
        <v>37</v>
      </c>
      <c r="AL106" s="198"/>
      <c r="AN106" s="3" t="s">
        <v>419</v>
      </c>
      <c r="AP106" s="154">
        <f>+DADES_ALTER!Z63</f>
        <v>0</v>
      </c>
      <c r="AQ106" s="3" t="s">
        <v>37</v>
      </c>
      <c r="BE106" s="198"/>
    </row>
    <row r="107" spans="2:57">
      <c r="B107" s="3" t="s">
        <v>420</v>
      </c>
      <c r="D107" s="154">
        <f>+DADES_ALTER!D64</f>
        <v>0</v>
      </c>
      <c r="E107" s="3" t="s">
        <v>421</v>
      </c>
      <c r="S107" s="198"/>
      <c r="U107" s="3" t="s">
        <v>420</v>
      </c>
      <c r="W107" s="154">
        <f>+DADES_ALTER!O64</f>
        <v>0</v>
      </c>
      <c r="X107" s="3" t="s">
        <v>421</v>
      </c>
      <c r="AL107" s="198"/>
      <c r="AN107" s="3" t="s">
        <v>420</v>
      </c>
      <c r="AP107" s="154">
        <f>+DADES_ALTER!Z64</f>
        <v>0</v>
      </c>
      <c r="AQ107" s="3" t="s">
        <v>421</v>
      </c>
      <c r="BE107" s="198"/>
    </row>
    <row r="108" spans="2:57">
      <c r="B108" s="3" t="s">
        <v>423</v>
      </c>
      <c r="D108" s="39" t="e">
        <f>+K12</f>
        <v>#DIV/0!</v>
      </c>
      <c r="E108" s="3" t="s">
        <v>37</v>
      </c>
      <c r="F108" s="11" t="s">
        <v>958</v>
      </c>
      <c r="G108" s="17" t="s">
        <v>957</v>
      </c>
      <c r="S108" s="198"/>
      <c r="U108" s="3" t="s">
        <v>423</v>
      </c>
      <c r="W108" s="39" t="e">
        <f>+AD12</f>
        <v>#DIV/0!</v>
      </c>
      <c r="X108" s="3" t="s">
        <v>37</v>
      </c>
      <c r="Y108" s="11" t="s">
        <v>958</v>
      </c>
      <c r="Z108" s="17" t="s">
        <v>957</v>
      </c>
      <c r="AL108" s="198"/>
      <c r="AN108" s="3" t="s">
        <v>423</v>
      </c>
      <c r="AP108" s="39" t="e">
        <f>+AW12</f>
        <v>#DIV/0!</v>
      </c>
      <c r="AQ108" s="3" t="s">
        <v>37</v>
      </c>
      <c r="AR108" s="11" t="s">
        <v>958</v>
      </c>
      <c r="AS108" s="17" t="s">
        <v>957</v>
      </c>
      <c r="BE108" s="198"/>
    </row>
    <row r="109" spans="2:57">
      <c r="B109" s="3" t="s">
        <v>956</v>
      </c>
      <c r="D109" s="39" t="e">
        <f>+D25+D44+L96*H53</f>
        <v>#DIV/0!</v>
      </c>
      <c r="E109" s="3" t="s">
        <v>32</v>
      </c>
      <c r="F109" s="11" t="s">
        <v>953</v>
      </c>
      <c r="G109" s="192" t="e">
        <f>+D108/K14</f>
        <v>#DIV/0!</v>
      </c>
      <c r="S109" s="198"/>
      <c r="U109" s="3" t="s">
        <v>956</v>
      </c>
      <c r="W109" s="39" t="e">
        <f>+W25+W44+AE96*AA53</f>
        <v>#DIV/0!</v>
      </c>
      <c r="X109" s="3" t="s">
        <v>32</v>
      </c>
      <c r="Y109" s="11" t="s">
        <v>953</v>
      </c>
      <c r="Z109" s="192" t="e">
        <f>+W108/AD14</f>
        <v>#DIV/0!</v>
      </c>
      <c r="AL109" s="198"/>
      <c r="AN109" s="3" t="s">
        <v>956</v>
      </c>
      <c r="AP109" s="39" t="e">
        <f>+AP25+AP44+AX96*AT53</f>
        <v>#DIV/0!</v>
      </c>
      <c r="AQ109" s="3" t="s">
        <v>32</v>
      </c>
      <c r="AR109" s="11" t="s">
        <v>953</v>
      </c>
      <c r="AS109" s="192" t="e">
        <f>+AP108/AW14</f>
        <v>#DIV/0!</v>
      </c>
      <c r="BE109" s="198"/>
    </row>
    <row r="110" spans="2:57">
      <c r="B110" s="3" t="s">
        <v>425</v>
      </c>
      <c r="D110" s="237" t="e">
        <f>+D108/D109</f>
        <v>#DIV/0!</v>
      </c>
      <c r="E110" s="3" t="s">
        <v>424</v>
      </c>
      <c r="F110" s="11" t="s">
        <v>951</v>
      </c>
      <c r="G110" s="192" t="e">
        <f>+D106/K14</f>
        <v>#DIV/0!</v>
      </c>
      <c r="S110" s="198"/>
      <c r="U110" s="3" t="s">
        <v>425</v>
      </c>
      <c r="W110" s="237" t="e">
        <f>+W108/W109</f>
        <v>#DIV/0!</v>
      </c>
      <c r="X110" s="3" t="s">
        <v>424</v>
      </c>
      <c r="Y110" s="11" t="s">
        <v>951</v>
      </c>
      <c r="Z110" s="192" t="e">
        <f>+W106/AD14</f>
        <v>#DIV/0!</v>
      </c>
      <c r="AL110" s="198"/>
      <c r="AN110" s="3" t="s">
        <v>425</v>
      </c>
      <c r="AP110" s="237" t="e">
        <f>+AP108/AP109</f>
        <v>#DIV/0!</v>
      </c>
      <c r="AQ110" s="3" t="s">
        <v>424</v>
      </c>
      <c r="AR110" s="11" t="s">
        <v>951</v>
      </c>
      <c r="AS110" s="192" t="e">
        <f>+AP106/AW14</f>
        <v>#DIV/0!</v>
      </c>
      <c r="BE110" s="198"/>
    </row>
    <row r="111" spans="2:57">
      <c r="B111" s="3" t="s">
        <v>422</v>
      </c>
      <c r="D111" s="237" t="e">
        <f>+(D105/D107+D106+D108)/D109</f>
        <v>#DIV/0!</v>
      </c>
      <c r="E111" s="3" t="s">
        <v>4</v>
      </c>
      <c r="F111" s="11" t="s">
        <v>954</v>
      </c>
      <c r="G111" s="192" t="e">
        <f>+D105/D107/K14</f>
        <v>#DIV/0!</v>
      </c>
      <c r="S111" s="198"/>
      <c r="U111" s="3" t="s">
        <v>422</v>
      </c>
      <c r="W111" s="237" t="e">
        <f>+(W105/W107+W106+W108)/W109</f>
        <v>#DIV/0!</v>
      </c>
      <c r="X111" s="3" t="s">
        <v>4</v>
      </c>
      <c r="Y111" s="11" t="s">
        <v>954</v>
      </c>
      <c r="Z111" s="192" t="e">
        <f>+W105/W107/AD14</f>
        <v>#DIV/0!</v>
      </c>
      <c r="AL111" s="198"/>
      <c r="AN111" s="3" t="s">
        <v>422</v>
      </c>
      <c r="AP111" s="237" t="e">
        <f>+(AP105/AP107+AP106+AP108)/AP109</f>
        <v>#DIV/0!</v>
      </c>
      <c r="AQ111" s="3" t="s">
        <v>4</v>
      </c>
      <c r="AR111" s="11" t="s">
        <v>954</v>
      </c>
      <c r="AS111" s="192" t="e">
        <f>+AP105/AP107/AW14</f>
        <v>#DIV/0!</v>
      </c>
      <c r="BE111" s="198"/>
    </row>
    <row r="112" spans="2:57">
      <c r="B112" s="3" t="s">
        <v>950</v>
      </c>
      <c r="D112" s="237" t="e">
        <f>+(D105/D107+D106+D108)/K14</f>
        <v>#DIV/0!</v>
      </c>
      <c r="E112" s="3" t="s">
        <v>155</v>
      </c>
      <c r="F112" s="11" t="s">
        <v>950</v>
      </c>
      <c r="G112" s="192" t="e">
        <f>SUM(G109:G111)</f>
        <v>#DIV/0!</v>
      </c>
      <c r="U112" s="3" t="s">
        <v>950</v>
      </c>
      <c r="W112" s="237" t="e">
        <f>+(W105/W107+W106+W108)/AD14</f>
        <v>#DIV/0!</v>
      </c>
      <c r="X112" s="3" t="s">
        <v>155</v>
      </c>
      <c r="Y112" s="11" t="s">
        <v>950</v>
      </c>
      <c r="Z112" s="192" t="e">
        <f>SUM(Z109:Z111)</f>
        <v>#DIV/0!</v>
      </c>
      <c r="AN112" s="3" t="s">
        <v>950</v>
      </c>
      <c r="AP112" s="237" t="e">
        <f>+(AP105/AP107+AP106+AP108)/AW14</f>
        <v>#DIV/0!</v>
      </c>
      <c r="AQ112" s="3" t="s">
        <v>155</v>
      </c>
      <c r="AR112" s="11" t="s">
        <v>950</v>
      </c>
      <c r="AS112" s="192" t="e">
        <f>SUM(AS109:AS111)</f>
        <v>#DIV/0!</v>
      </c>
    </row>
    <row r="113" spans="2:43">
      <c r="B113" s="3" t="s">
        <v>426</v>
      </c>
      <c r="D113" s="239" t="e">
        <f>+CALCULS_ACTUAL!$J$13-CALCUL_ALTER!D108</f>
        <v>#DIV/0!</v>
      </c>
      <c r="E113" s="3" t="s">
        <v>37</v>
      </c>
      <c r="S113" s="198"/>
      <c r="U113" s="3" t="s">
        <v>426</v>
      </c>
      <c r="W113" s="239" t="e">
        <f>+CALCULS_ACTUAL!$J$13-CALCUL_ALTER!W108</f>
        <v>#DIV/0!</v>
      </c>
      <c r="X113" s="3" t="s">
        <v>37</v>
      </c>
      <c r="AL113" s="198"/>
      <c r="AN113" s="3" t="s">
        <v>426</v>
      </c>
      <c r="AP113" s="239" t="e">
        <f>+CALCULS_ACTUAL!$J$13-CALCUL_ALTER!AP108</f>
        <v>#DIV/0!</v>
      </c>
      <c r="AQ113" s="3" t="s">
        <v>37</v>
      </c>
    </row>
    <row r="114" spans="2:43">
      <c r="B114" s="3" t="s">
        <v>433</v>
      </c>
      <c r="D114" s="242">
        <f>+IFERROR(IF(D113&lt;=0,"no estalvi",IF((D105-CALCULS_ACTUAL!$J$20)&gt;0,(D105-CALCULS_ACTUAL!$J$20)/D113,0)),)</f>
        <v>0</v>
      </c>
      <c r="E114" s="3" t="s">
        <v>421</v>
      </c>
      <c r="S114" s="198"/>
      <c r="U114" s="3" t="s">
        <v>433</v>
      </c>
      <c r="W114" s="242">
        <f>+IFERROR(IF(W113&lt;=0,"no estalvi",IF((W105-CALCULS_ACTUAL!$J$20)&gt;0,(W105-CALCULS_ACTUAL!$J$20)/W113,0)),)</f>
        <v>0</v>
      </c>
      <c r="X114" s="3" t="s">
        <v>421</v>
      </c>
      <c r="AL114" s="198"/>
      <c r="AN114" s="3" t="s">
        <v>433</v>
      </c>
      <c r="AP114" s="242">
        <f>+IFERROR(IF(AP113&lt;=0,"no estalvi",IF((AP105-CALCULS_ACTUAL!$J$20)&gt;0,(AP105-CALCULS_ACTUAL!$J$20)/AP113,0)),)</f>
        <v>0</v>
      </c>
      <c r="AQ114" s="3" t="s">
        <v>421</v>
      </c>
    </row>
    <row r="115" spans="2:43">
      <c r="B115" s="3" t="s">
        <v>434</v>
      </c>
      <c r="D115" s="242">
        <f>+IFERROR(IF(D113&lt;0,"no estalvi",(D105/D113)),)</f>
        <v>0</v>
      </c>
      <c r="E115" s="3" t="s">
        <v>421</v>
      </c>
      <c r="S115" s="198"/>
      <c r="U115" s="3" t="s">
        <v>434</v>
      </c>
      <c r="W115" s="242">
        <f>+IFERROR(IF(W113&lt;0,"no estalvi",(W105/W113)),)</f>
        <v>0</v>
      </c>
      <c r="X115" s="3" t="s">
        <v>421</v>
      </c>
      <c r="AL115" s="198"/>
      <c r="AN115" s="3" t="s">
        <v>434</v>
      </c>
      <c r="AP115" s="242">
        <f>+IFERROR(IF(AP113&lt;0,"no estalvi",(AP105/AP113)),)</f>
        <v>0</v>
      </c>
      <c r="AQ115" s="3" t="s">
        <v>421</v>
      </c>
    </row>
    <row r="116" spans="2:43">
      <c r="W116" s="39"/>
    </row>
  </sheetData>
  <sheetProtection sheet="1" objects="1" scenarios="1"/>
  <mergeCells count="18">
    <mergeCell ref="A74:A87"/>
    <mergeCell ref="D5:E5"/>
    <mergeCell ref="D8:E8"/>
    <mergeCell ref="B58:G58"/>
    <mergeCell ref="I58:P58"/>
    <mergeCell ref="A59:A72"/>
    <mergeCell ref="AP5:AQ5"/>
    <mergeCell ref="AP8:AQ8"/>
    <mergeCell ref="AN58:AS58"/>
    <mergeCell ref="W5:X5"/>
    <mergeCell ref="W8:X8"/>
    <mergeCell ref="U58:Z58"/>
    <mergeCell ref="AU58:BB58"/>
    <mergeCell ref="AM59:AM72"/>
    <mergeCell ref="AM74:AM87"/>
    <mergeCell ref="AB58:AI58"/>
    <mergeCell ref="T59:T72"/>
    <mergeCell ref="T74:T87"/>
  </mergeCells>
  <pageMargins left="0.39370078740157483" right="0.39370078740157483" top="0.74803149606299213" bottom="0.74803149606299213" header="0.31496062992125984" footer="0.31496062992125984"/>
  <pageSetup paperSize="9" scale="66" orientation="portrait" r:id="rId1"/>
  <rowBreaks count="1" manualBreakCount="1">
    <brk id="56" max="13" man="1"/>
  </rowBreaks>
  <drawing r:id="rId2"/>
  <legacyDrawing r:id="rId3"/>
  <extLst>
    <ext xmlns:x14="http://schemas.microsoft.com/office/spreadsheetml/2009/9/main" uri="{78C0D931-6437-407d-A8EE-F0AAD7539E65}">
      <x14:conditionalFormattings>
        <x14:conditionalFormatting xmlns:xm="http://schemas.microsoft.com/office/excel/2006/main">
          <x14:cfRule type="iconSet" priority="5" id="{5EF01572-3ED8-4D26-91B6-9D419ECF8CA6}">
            <x14:iconSet iconSet="3Symbols2" custom="1">
              <x14:cfvo type="percent">
                <xm:f>0</xm:f>
              </x14:cfvo>
              <x14:cfvo type="num">
                <xm:f>50</xm:f>
              </x14:cfvo>
              <x14:cfvo type="num" gte="0">
                <xm:f>50</xm:f>
              </x14:cfvo>
              <x14:cfIcon iconSet="3Symbols2" iconId="0"/>
              <x14:cfIcon iconSet="3Symbols2" iconId="2"/>
              <x14:cfIcon iconSet="3Symbols2" iconId="2"/>
            </x14:iconSet>
          </x14:cfRule>
          <xm:sqref>L53</xm:sqref>
        </x14:conditionalFormatting>
        <x14:conditionalFormatting xmlns:xm="http://schemas.microsoft.com/office/excel/2006/main">
          <x14:cfRule type="iconSet" priority="2" id="{0A0A1A31-17B1-45A7-A70B-5E9E894DC641}">
            <x14:iconSet iconSet="3Symbols2" custom="1">
              <x14:cfvo type="percent">
                <xm:f>0</xm:f>
              </x14:cfvo>
              <x14:cfvo type="num">
                <xm:f>50</xm:f>
              </x14:cfvo>
              <x14:cfvo type="num" gte="0">
                <xm:f>50</xm:f>
              </x14:cfvo>
              <x14:cfIcon iconSet="3Symbols2" iconId="0"/>
              <x14:cfIcon iconSet="3Symbols2" iconId="2"/>
              <x14:cfIcon iconSet="3Symbols2" iconId="2"/>
            </x14:iconSet>
          </x14:cfRule>
          <xm:sqref>AE53</xm:sqref>
        </x14:conditionalFormatting>
        <x14:conditionalFormatting xmlns:xm="http://schemas.microsoft.com/office/excel/2006/main">
          <x14:cfRule type="iconSet" priority="1" id="{6A53C3FB-4179-4BB4-BD2C-75DBD07C4072}">
            <x14:iconSet iconSet="3Symbols2" custom="1">
              <x14:cfvo type="percent">
                <xm:f>0</xm:f>
              </x14:cfvo>
              <x14:cfvo type="num">
                <xm:f>50</xm:f>
              </x14:cfvo>
              <x14:cfvo type="num" gte="0">
                <xm:f>50</xm:f>
              </x14:cfvo>
              <x14:cfIcon iconSet="3Symbols2" iconId="0"/>
              <x14:cfIcon iconSet="3Symbols2" iconId="2"/>
              <x14:cfIcon iconSet="3Symbols2" iconId="2"/>
            </x14:iconSet>
          </x14:cfRule>
          <xm:sqref>AX53</xm:sqref>
        </x14:conditionalFormatting>
      </x14:conditionalFormattings>
    </ext>
    <ext xmlns:x14="http://schemas.microsoft.com/office/spreadsheetml/2009/9/main" uri="{CCE6A557-97BC-4b89-ADB6-D9C93CAAB3DF}">
      <x14:dataValidations xmlns:xm="http://schemas.microsoft.com/office/excel/2006/main" disablePrompts="1" count="4">
        <x14:dataValidation type="list" allowBlank="1" showInputMessage="1" showErrorMessage="1" xr:uid="{70683CC8-39BB-4F45-8C12-7705D6A7A65E}">
          <x14:formula1>
            <xm:f>desplegables!$A$3:$A$10</xm:f>
          </x14:formula1>
          <xm:sqref>D8:E8 AP8:AQ8 W8:X8</xm:sqref>
        </x14:dataValidation>
        <x14:dataValidation type="list" allowBlank="1" showInputMessage="1" showErrorMessage="1" xr:uid="{59CEF410-2A73-4823-A056-832E09CAEEAE}">
          <x14:formula1>
            <xm:f>perdues_diposit!$B$9:$H$9</xm:f>
          </x14:formula1>
          <xm:sqref>D33:D35 W33:W35 AP33:AP35</xm:sqref>
        </x14:dataValidation>
        <x14:dataValidation type="list" allowBlank="1" showInputMessage="1" showErrorMessage="1" xr:uid="{1EAF11A2-D63A-4367-BCD3-D0AAA5087856}">
          <x14:formula1>
            <xm:f>perdues_diposit!$A$11:$A$32</xm:f>
          </x14:formula1>
          <xm:sqref>C33:C35 V33:V35 AO33:AO35</xm:sqref>
        </x14:dataValidation>
        <x14:dataValidation type="list" allowBlank="1" showInputMessage="1" showErrorMessage="1" xr:uid="{B2A98060-51EA-4FCC-9106-F95F05E2F6D3}">
          <x14:formula1>
            <xm:f>desplegables!$H$1:$H$10</xm:f>
          </x14:formula1>
          <xm:sqref>D5 W5 AP5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43809-D470-4CA6-95F5-70F2138E335C}">
  <sheetPr codeName="Full9">
    <pageSetUpPr fitToPage="1"/>
  </sheetPr>
  <dimension ref="A1:O43"/>
  <sheetViews>
    <sheetView zoomScaleNormal="100" zoomScaleSheetLayoutView="70" workbookViewId="0">
      <pane ySplit="3" topLeftCell="A4" activePane="bottomLeft" state="frozen"/>
      <selection pane="bottomLeft" activeCell="T28" sqref="T28"/>
    </sheetView>
  </sheetViews>
  <sheetFormatPr defaultColWidth="11.5546875" defaultRowHeight="14.4"/>
  <cols>
    <col min="1" max="16384" width="11.5546875" style="3"/>
  </cols>
  <sheetData>
    <row r="1" spans="1:10">
      <c r="A1" s="92" t="s">
        <v>257</v>
      </c>
      <c r="B1" s="92"/>
    </row>
    <row r="2" spans="1:10">
      <c r="A2" s="92" t="s">
        <v>258</v>
      </c>
      <c r="B2" s="92"/>
    </row>
    <row r="3" spans="1:10">
      <c r="A3" s="1" t="s">
        <v>77</v>
      </c>
      <c r="B3" s="42"/>
      <c r="C3" s="42"/>
      <c r="D3" s="42"/>
      <c r="E3" s="42"/>
      <c r="F3" s="42"/>
    </row>
    <row r="5" spans="1:10">
      <c r="A5" s="2" t="s">
        <v>129</v>
      </c>
    </row>
    <row r="6" spans="1:10">
      <c r="A6" s="3" t="s">
        <v>123</v>
      </c>
    </row>
    <row r="7" spans="1:10">
      <c r="A7" s="3" t="s">
        <v>125</v>
      </c>
    </row>
    <row r="8" spans="1:10">
      <c r="F8" s="99" t="s">
        <v>122</v>
      </c>
      <c r="G8" s="99"/>
      <c r="H8" s="99"/>
      <c r="I8" s="99"/>
    </row>
    <row r="9" spans="1:10">
      <c r="A9" s="11" t="s">
        <v>67</v>
      </c>
      <c r="B9" s="17" t="s">
        <v>114</v>
      </c>
      <c r="C9" s="17" t="s">
        <v>73</v>
      </c>
      <c r="D9" s="17" t="s">
        <v>115</v>
      </c>
      <c r="E9" s="17" t="s">
        <v>116</v>
      </c>
      <c r="F9" s="100" t="s">
        <v>117</v>
      </c>
      <c r="G9" s="100" t="s">
        <v>118</v>
      </c>
      <c r="H9" s="100" t="s">
        <v>119</v>
      </c>
      <c r="I9" s="100" t="s">
        <v>120</v>
      </c>
      <c r="J9" s="101" t="s">
        <v>126</v>
      </c>
    </row>
    <row r="10" spans="1:10">
      <c r="A10" s="17" t="s">
        <v>130</v>
      </c>
      <c r="B10" s="102">
        <v>2</v>
      </c>
      <c r="C10" s="102">
        <v>3</v>
      </c>
      <c r="D10" s="102">
        <v>4</v>
      </c>
      <c r="E10" s="102">
        <v>5</v>
      </c>
      <c r="F10" s="102">
        <v>6</v>
      </c>
      <c r="G10" s="102">
        <v>7</v>
      </c>
      <c r="H10" s="102">
        <v>8</v>
      </c>
      <c r="I10" s="102">
        <v>9</v>
      </c>
    </row>
    <row r="11" spans="1:10">
      <c r="A11" s="33">
        <v>15</v>
      </c>
      <c r="B11" s="103">
        <f t="shared" ref="B11:B32" si="0">5.5 +3.16 * $A11^0.4</f>
        <v>14.835199127438376</v>
      </c>
      <c r="C11" s="104">
        <f t="shared" ref="C11:C32" si="1">8.5 +4.25* $A11^0.4</f>
        <v>21.055251991016803</v>
      </c>
      <c r="D11" s="104">
        <f t="shared" ref="D11:D32" si="2">12 +5.93* $A11^0.4</f>
        <v>29.51826924864227</v>
      </c>
      <c r="E11" s="104">
        <f t="shared" ref="E11:E32" si="3">16.66 +8.33* $A11^0.4</f>
        <v>41.268293902392934</v>
      </c>
      <c r="F11" s="105">
        <f t="shared" ref="F11:F32" si="4">21 +10.33* $A11^0.4</f>
        <v>51.51664778051849</v>
      </c>
      <c r="G11" s="105">
        <f t="shared" ref="G11:G32" si="5">26 +13.66* $A11^0.4</f>
        <v>66.354056987597545</v>
      </c>
      <c r="H11" s="105">
        <f t="shared" ref="H11:H32" si="6">31 +16.66* $A11^0.4</f>
        <v>80.21658780478586</v>
      </c>
      <c r="I11" s="106" t="s">
        <v>121</v>
      </c>
    </row>
    <row r="12" spans="1:10">
      <c r="A12" s="17">
        <v>30</v>
      </c>
      <c r="B12" s="103">
        <f t="shared" si="0"/>
        <v>17.817869097295159</v>
      </c>
      <c r="C12" s="104">
        <f t="shared" si="1"/>
        <v>25.066754323893804</v>
      </c>
      <c r="D12" s="104">
        <f t="shared" si="2"/>
        <v>35.115494856632999</v>
      </c>
      <c r="E12" s="104">
        <f t="shared" si="3"/>
        <v>49.130838474831862</v>
      </c>
      <c r="F12" s="105">
        <f t="shared" si="4"/>
        <v>61.266958156664231</v>
      </c>
      <c r="G12" s="105">
        <f t="shared" si="5"/>
        <v>79.247497426915146</v>
      </c>
      <c r="H12" s="105">
        <f t="shared" si="6"/>
        <v>95.941676949663716</v>
      </c>
      <c r="I12" s="106" t="s">
        <v>121</v>
      </c>
    </row>
    <row r="13" spans="1:10">
      <c r="A13" s="17">
        <v>50</v>
      </c>
      <c r="B13" s="103">
        <f t="shared" si="0"/>
        <v>20.610369496682587</v>
      </c>
      <c r="C13" s="104">
        <f t="shared" si="1"/>
        <v>28.822490620538289</v>
      </c>
      <c r="D13" s="104">
        <f t="shared" si="2"/>
        <v>40.355851618774601</v>
      </c>
      <c r="E13" s="104">
        <f t="shared" si="3"/>
        <v>56.492081616255049</v>
      </c>
      <c r="F13" s="105">
        <f t="shared" si="4"/>
        <v>70.395606614155412</v>
      </c>
      <c r="G13" s="105">
        <f t="shared" si="5"/>
        <v>91.318875735659532</v>
      </c>
      <c r="H13" s="105">
        <f t="shared" si="6"/>
        <v>110.66416323251009</v>
      </c>
      <c r="I13" s="106" t="s">
        <v>121</v>
      </c>
    </row>
    <row r="14" spans="1:10">
      <c r="A14" s="17">
        <v>80</v>
      </c>
      <c r="B14" s="103">
        <f t="shared" si="0"/>
        <v>23.735726810667177</v>
      </c>
      <c r="C14" s="104">
        <f t="shared" si="1"/>
        <v>33.025898400422626</v>
      </c>
      <c r="D14" s="104">
        <f t="shared" si="2"/>
        <v>46.220841768119101</v>
      </c>
      <c r="E14" s="104">
        <f t="shared" si="3"/>
        <v>64.730760864828355</v>
      </c>
      <c r="F14" s="105">
        <f t="shared" si="4"/>
        <v>80.612360112086066</v>
      </c>
      <c r="G14" s="105">
        <f t="shared" si="5"/>
        <v>104.82912285877015</v>
      </c>
      <c r="H14" s="105">
        <f t="shared" si="6"/>
        <v>127.1415217296567</v>
      </c>
      <c r="I14" s="106" t="s">
        <v>121</v>
      </c>
    </row>
    <row r="15" spans="1:10">
      <c r="A15" s="17">
        <v>100</v>
      </c>
      <c r="B15" s="103">
        <f t="shared" si="0"/>
        <v>25.438252085574113</v>
      </c>
      <c r="C15" s="104">
        <f t="shared" si="1"/>
        <v>35.315687140408222</v>
      </c>
      <c r="D15" s="104">
        <f t="shared" si="2"/>
        <v>49.41577052767547</v>
      </c>
      <c r="E15" s="104">
        <f t="shared" si="3"/>
        <v>69.218746795200119</v>
      </c>
      <c r="F15" s="105">
        <f t="shared" si="4"/>
        <v>86.177893684803976</v>
      </c>
      <c r="G15" s="105">
        <f t="shared" si="5"/>
        <v>112.18877325599442</v>
      </c>
      <c r="H15" s="105">
        <f t="shared" si="6"/>
        <v>136.11749359040022</v>
      </c>
      <c r="I15" s="106" t="s">
        <v>121</v>
      </c>
    </row>
    <row r="16" spans="1:10">
      <c r="A16" s="17">
        <v>120</v>
      </c>
      <c r="B16" s="103">
        <f t="shared" si="0"/>
        <v>26.946655762516443</v>
      </c>
      <c r="C16" s="104">
        <f t="shared" si="1"/>
        <v>37.34439461730851</v>
      </c>
      <c r="D16" s="104">
        <f t="shared" si="2"/>
        <v>52.246414136621041</v>
      </c>
      <c r="E16" s="104">
        <f t="shared" si="3"/>
        <v>73.195013449924673</v>
      </c>
      <c r="F16" s="105">
        <f t="shared" si="4"/>
        <v>91.108846211011027</v>
      </c>
      <c r="G16" s="105">
        <f t="shared" si="5"/>
        <v>118.70927775821981</v>
      </c>
      <c r="H16" s="105">
        <f t="shared" si="6"/>
        <v>144.07002689984935</v>
      </c>
      <c r="I16" s="106" t="s">
        <v>121</v>
      </c>
    </row>
    <row r="17" spans="1:10">
      <c r="A17" s="17">
        <v>150</v>
      </c>
      <c r="B17" s="103">
        <f t="shared" si="0"/>
        <v>28.948960023652536</v>
      </c>
      <c r="C17" s="104">
        <f t="shared" si="1"/>
        <v>40.037367120418757</v>
      </c>
      <c r="D17" s="104">
        <f t="shared" si="2"/>
        <v>56.003902829196051</v>
      </c>
      <c r="E17" s="104">
        <f t="shared" si="3"/>
        <v>78.473239556020758</v>
      </c>
      <c r="F17" s="105">
        <f t="shared" si="4"/>
        <v>97.654353495041349</v>
      </c>
      <c r="G17" s="105">
        <f t="shared" si="5"/>
        <v>127.36480820351063</v>
      </c>
      <c r="H17" s="105">
        <f t="shared" si="6"/>
        <v>154.62647911204152</v>
      </c>
      <c r="I17" s="106" t="s">
        <v>121</v>
      </c>
    </row>
    <row r="18" spans="1:10">
      <c r="A18" s="17">
        <v>200</v>
      </c>
      <c r="B18" s="103">
        <f t="shared" si="0"/>
        <v>31.808681353899193</v>
      </c>
      <c r="C18" s="104">
        <f t="shared" si="1"/>
        <v>43.883511314579607</v>
      </c>
      <c r="D18" s="104">
        <f t="shared" si="2"/>
        <v>61.370405198931074</v>
      </c>
      <c r="E18" s="104">
        <f t="shared" si="3"/>
        <v>86.011682176576031</v>
      </c>
      <c r="F18" s="105">
        <f t="shared" si="4"/>
        <v>107.0027463246135</v>
      </c>
      <c r="G18" s="105">
        <f t="shared" si="5"/>
        <v>139.72676813109587</v>
      </c>
      <c r="H18" s="105">
        <f t="shared" si="6"/>
        <v>169.70336435315207</v>
      </c>
      <c r="I18" s="106" t="s">
        <v>121</v>
      </c>
    </row>
    <row r="19" spans="1:10">
      <c r="A19" s="17">
        <v>250</v>
      </c>
      <c r="B19" s="103">
        <f t="shared" si="0"/>
        <v>34.264914407812071</v>
      </c>
      <c r="C19" s="104">
        <f t="shared" si="1"/>
        <v>47.186989314304213</v>
      </c>
      <c r="D19" s="104">
        <f t="shared" si="2"/>
        <v>65.979728619723289</v>
      </c>
      <c r="E19" s="104">
        <f t="shared" si="3"/>
        <v>92.486499056036251</v>
      </c>
      <c r="F19" s="105">
        <f t="shared" si="4"/>
        <v>115.03214108629706</v>
      </c>
      <c r="G19" s="105">
        <f t="shared" si="5"/>
        <v>150.34453506668132</v>
      </c>
      <c r="H19" s="105">
        <f t="shared" si="6"/>
        <v>182.65299811207251</v>
      </c>
      <c r="I19" s="106" t="s">
        <v>121</v>
      </c>
    </row>
    <row r="20" spans="1:10">
      <c r="A20" s="17">
        <v>300</v>
      </c>
      <c r="B20" s="103">
        <f t="shared" si="0"/>
        <v>36.441088250606875</v>
      </c>
      <c r="C20" s="104">
        <f t="shared" si="1"/>
        <v>50.113805400341519</v>
      </c>
      <c r="D20" s="104">
        <f t="shared" si="2"/>
        <v>70.063497888005941</v>
      </c>
      <c r="E20" s="104">
        <f t="shared" si="3"/>
        <v>98.223058584669374</v>
      </c>
      <c r="F20" s="105">
        <f t="shared" si="4"/>
        <v>122.14602583188892</v>
      </c>
      <c r="G20" s="105">
        <f t="shared" si="5"/>
        <v>159.75166629850946</v>
      </c>
      <c r="H20" s="105">
        <f t="shared" si="6"/>
        <v>194.12611716933876</v>
      </c>
      <c r="I20" s="106" t="s">
        <v>121</v>
      </c>
    </row>
    <row r="21" spans="1:10">
      <c r="A21" s="17">
        <v>400</v>
      </c>
      <c r="B21" s="103">
        <f t="shared" si="0"/>
        <v>40.214513168473324</v>
      </c>
      <c r="C21" s="104">
        <f t="shared" si="1"/>
        <v>55.188823090510006</v>
      </c>
      <c r="D21" s="104">
        <f t="shared" si="2"/>
        <v>77.144640218052785</v>
      </c>
      <c r="E21" s="104">
        <f t="shared" si="3"/>
        <v>108.17009325739961</v>
      </c>
      <c r="F21" s="105">
        <f t="shared" si="4"/>
        <v>134.48130412352197</v>
      </c>
      <c r="G21" s="105">
        <f t="shared" si="5"/>
        <v>176.06337021561569</v>
      </c>
      <c r="H21" s="105">
        <f t="shared" si="6"/>
        <v>214.02018651479924</v>
      </c>
      <c r="I21" s="106" t="s">
        <v>121</v>
      </c>
    </row>
    <row r="22" spans="1:10">
      <c r="A22" s="17">
        <v>500</v>
      </c>
      <c r="B22" s="103">
        <f t="shared" si="0"/>
        <v>43.455532113813234</v>
      </c>
      <c r="C22" s="104">
        <f t="shared" si="1"/>
        <v>59.547788444210831</v>
      </c>
      <c r="D22" s="104">
        <f t="shared" si="2"/>
        <v>83.226678935098874</v>
      </c>
      <c r="E22" s="104">
        <f t="shared" si="3"/>
        <v>116.71366535065323</v>
      </c>
      <c r="F22" s="105">
        <f t="shared" si="4"/>
        <v>145.07615403028186</v>
      </c>
      <c r="G22" s="105">
        <f t="shared" si="5"/>
        <v>190.07359768186353</v>
      </c>
      <c r="H22" s="105">
        <f t="shared" si="6"/>
        <v>231.10733070130647</v>
      </c>
      <c r="I22" s="106" t="s">
        <v>121</v>
      </c>
    </row>
    <row r="23" spans="1:10">
      <c r="A23" s="17">
        <v>750</v>
      </c>
      <c r="B23" s="103">
        <f t="shared" si="0"/>
        <v>50.13870510781733</v>
      </c>
      <c r="C23" s="104">
        <f t="shared" si="1"/>
        <v>68.536233135513811</v>
      </c>
      <c r="D23" s="104">
        <f t="shared" si="2"/>
        <v>95.768202939669862</v>
      </c>
      <c r="E23" s="104">
        <f t="shared" si="3"/>
        <v>134.33101694560708</v>
      </c>
      <c r="F23" s="105">
        <f t="shared" si="4"/>
        <v>166.92336195055475</v>
      </c>
      <c r="G23" s="105">
        <f t="shared" si="5"/>
        <v>218.96351638379264</v>
      </c>
      <c r="H23" s="105">
        <f t="shared" si="6"/>
        <v>266.34203389121416</v>
      </c>
      <c r="I23" s="106" t="s">
        <v>121</v>
      </c>
    </row>
    <row r="24" spans="1:10">
      <c r="A24" s="37">
        <v>1000</v>
      </c>
      <c r="B24" s="103">
        <f t="shared" si="0"/>
        <v>55.582624881771196</v>
      </c>
      <c r="C24" s="104">
        <f t="shared" si="1"/>
        <v>75.857960679597326</v>
      </c>
      <c r="D24" s="104">
        <f t="shared" si="2"/>
        <v>105.98416631294404</v>
      </c>
      <c r="E24" s="104">
        <f t="shared" si="3"/>
        <v>148.68160293201078</v>
      </c>
      <c r="F24" s="105">
        <f t="shared" si="4"/>
        <v>184.71946678123305</v>
      </c>
      <c r="G24" s="105">
        <f t="shared" si="5"/>
        <v>242.49641009018814</v>
      </c>
      <c r="H24" s="105">
        <f t="shared" si="6"/>
        <v>295.04320586402156</v>
      </c>
      <c r="I24" s="106" t="s">
        <v>121</v>
      </c>
    </row>
    <row r="25" spans="1:10">
      <c r="A25" s="37">
        <v>1200</v>
      </c>
      <c r="B25" s="103">
        <f t="shared" si="0"/>
        <v>59.371563611121807</v>
      </c>
      <c r="C25" s="104">
        <f t="shared" si="1"/>
        <v>80.953843464325217</v>
      </c>
      <c r="D25" s="104">
        <f t="shared" si="2"/>
        <v>113.09442158669377</v>
      </c>
      <c r="E25" s="104">
        <f t="shared" si="3"/>
        <v>158.66953319007743</v>
      </c>
      <c r="F25" s="105">
        <f t="shared" si="4"/>
        <v>197.10545952623048</v>
      </c>
      <c r="G25" s="105">
        <f t="shared" si="5"/>
        <v>258.87517687592526</v>
      </c>
      <c r="H25" s="105">
        <f t="shared" si="6"/>
        <v>315.01906638015487</v>
      </c>
      <c r="I25" s="106" t="s">
        <v>121</v>
      </c>
    </row>
    <row r="26" spans="1:10">
      <c r="A26" s="37">
        <v>1500</v>
      </c>
      <c r="B26" s="103">
        <f t="shared" si="0"/>
        <v>64.40112451642338</v>
      </c>
      <c r="C26" s="104">
        <f t="shared" si="1"/>
        <v>87.718284555316245</v>
      </c>
      <c r="D26" s="104">
        <f t="shared" si="2"/>
        <v>122.5328064501236</v>
      </c>
      <c r="E26" s="104">
        <f t="shared" si="3"/>
        <v>171.92783772841983</v>
      </c>
      <c r="F26" s="105">
        <f t="shared" si="4"/>
        <v>213.54703046033336</v>
      </c>
      <c r="G26" s="105">
        <f t="shared" si="5"/>
        <v>280.6168863589694</v>
      </c>
      <c r="H26" s="105">
        <f t="shared" si="6"/>
        <v>341.53567545683967</v>
      </c>
      <c r="I26" s="106" t="s">
        <v>121</v>
      </c>
    </row>
    <row r="27" spans="1:10">
      <c r="A27" s="37">
        <v>2000</v>
      </c>
      <c r="B27" s="103">
        <f t="shared" si="0"/>
        <v>71.584419723768491</v>
      </c>
      <c r="C27" s="104">
        <f t="shared" si="1"/>
        <v>97.379361970258245</v>
      </c>
      <c r="D27" s="104">
        <f t="shared" si="2"/>
        <v>136.01285093732503</v>
      </c>
      <c r="E27" s="104">
        <f t="shared" si="3"/>
        <v>190.86354946170616</v>
      </c>
      <c r="F27" s="105">
        <f t="shared" si="4"/>
        <v>237.02913156535709</v>
      </c>
      <c r="G27" s="105">
        <f t="shared" si="5"/>
        <v>311.66872576793588</v>
      </c>
      <c r="H27" s="105">
        <f t="shared" si="6"/>
        <v>379.40709892341232</v>
      </c>
      <c r="I27" s="106" t="s">
        <v>121</v>
      </c>
    </row>
    <row r="28" spans="1:10">
      <c r="A28" s="37">
        <v>2500</v>
      </c>
      <c r="B28" s="109">
        <f t="shared" si="0"/>
        <v>77.754198204517579</v>
      </c>
      <c r="C28" s="105">
        <f t="shared" si="1"/>
        <v>105.67732353455686</v>
      </c>
      <c r="D28" s="105">
        <f t="shared" si="2"/>
        <v>147.59094789645229</v>
      </c>
      <c r="E28" s="105">
        <f t="shared" si="3"/>
        <v>207.12755412773146</v>
      </c>
      <c r="F28" s="105">
        <f t="shared" si="4"/>
        <v>257.1980593204641</v>
      </c>
      <c r="G28" s="105">
        <f t="shared" si="5"/>
        <v>338.33935046636395</v>
      </c>
      <c r="H28" s="105">
        <f t="shared" si="6"/>
        <v>411.93510825546292</v>
      </c>
      <c r="I28" s="106" t="s">
        <v>121</v>
      </c>
      <c r="J28" s="3" t="s">
        <v>124</v>
      </c>
    </row>
    <row r="29" spans="1:10">
      <c r="A29" s="37">
        <v>3000</v>
      </c>
      <c r="B29" s="109">
        <f t="shared" si="0"/>
        <v>83.220499752839885</v>
      </c>
      <c r="C29" s="105">
        <f t="shared" si="1"/>
        <v>113.02915314859793</v>
      </c>
      <c r="D29" s="105">
        <f t="shared" si="2"/>
        <v>157.84891251086722</v>
      </c>
      <c r="E29" s="105">
        <f t="shared" si="3"/>
        <v>221.53714017125193</v>
      </c>
      <c r="F29" s="105">
        <f t="shared" si="4"/>
        <v>275.06732988823921</v>
      </c>
      <c r="G29" s="105">
        <f t="shared" si="5"/>
        <v>361.96899576702299</v>
      </c>
      <c r="H29" s="105">
        <f t="shared" si="6"/>
        <v>440.75428034250388</v>
      </c>
      <c r="I29" s="106" t="s">
        <v>121</v>
      </c>
    </row>
    <row r="30" spans="1:10">
      <c r="A30" s="37">
        <v>3500</v>
      </c>
      <c r="B30" s="109">
        <f t="shared" si="0"/>
        <v>88.163597235336312</v>
      </c>
      <c r="C30" s="105">
        <f t="shared" si="1"/>
        <v>119.67730640828458</v>
      </c>
      <c r="D30" s="105">
        <f t="shared" si="2"/>
        <v>167.12504164732414</v>
      </c>
      <c r="E30" s="105">
        <f t="shared" si="3"/>
        <v>234.56752056023777</v>
      </c>
      <c r="F30" s="105">
        <f t="shared" si="4"/>
        <v>291.22625298766582</v>
      </c>
      <c r="G30" s="105">
        <f t="shared" si="5"/>
        <v>383.33694247933352</v>
      </c>
      <c r="H30" s="105">
        <f t="shared" si="6"/>
        <v>466.81504112047554</v>
      </c>
      <c r="I30" s="106" t="s">
        <v>121</v>
      </c>
    </row>
    <row r="31" spans="1:10">
      <c r="A31" s="37">
        <v>4000</v>
      </c>
      <c r="B31" s="109">
        <f t="shared" si="0"/>
        <v>92.698914604348801</v>
      </c>
      <c r="C31" s="105">
        <f t="shared" si="1"/>
        <v>125.77702122420328</v>
      </c>
      <c r="D31" s="105">
        <f t="shared" si="2"/>
        <v>175.63593784930009</v>
      </c>
      <c r="E31" s="105">
        <f t="shared" si="3"/>
        <v>246.52296159943842</v>
      </c>
      <c r="F31" s="105">
        <f t="shared" si="4"/>
        <v>306.05214805788705</v>
      </c>
      <c r="G31" s="105">
        <f t="shared" si="5"/>
        <v>402.94214351120394</v>
      </c>
      <c r="H31" s="105">
        <f t="shared" si="6"/>
        <v>490.72592319887684</v>
      </c>
      <c r="I31" s="106" t="s">
        <v>121</v>
      </c>
    </row>
    <row r="32" spans="1:10">
      <c r="A32" s="37">
        <v>5000</v>
      </c>
      <c r="B32" s="109">
        <f t="shared" si="0"/>
        <v>100.83998611741364</v>
      </c>
      <c r="C32" s="105">
        <f t="shared" si="1"/>
        <v>136.7262471515848</v>
      </c>
      <c r="D32" s="105">
        <f t="shared" si="2"/>
        <v>190.91332837856419</v>
      </c>
      <c r="E32" s="105">
        <f t="shared" si="3"/>
        <v>267.98344441710623</v>
      </c>
      <c r="F32" s="105">
        <f t="shared" si="4"/>
        <v>332.6652077825579</v>
      </c>
      <c r="G32" s="105">
        <f t="shared" si="5"/>
        <v>438.13424378603492</v>
      </c>
      <c r="H32" s="105">
        <f t="shared" si="6"/>
        <v>533.6468888342124</v>
      </c>
      <c r="I32" s="106" t="s">
        <v>121</v>
      </c>
    </row>
    <row r="33" spans="1:15">
      <c r="A33" s="18"/>
      <c r="E33" s="110"/>
      <c r="F33" s="110"/>
      <c r="J33" s="111"/>
      <c r="K33" s="111"/>
      <c r="L33" s="111"/>
      <c r="M33" s="111"/>
      <c r="N33" s="111"/>
      <c r="O33" s="111"/>
    </row>
    <row r="34" spans="1:15">
      <c r="A34" s="2"/>
    </row>
    <row r="37" spans="1:15">
      <c r="C37" s="99"/>
    </row>
    <row r="38" spans="1:15">
      <c r="C38" s="99"/>
    </row>
    <row r="39" spans="1:15">
      <c r="C39" s="99"/>
    </row>
    <row r="40" spans="1:15">
      <c r="C40" s="99"/>
    </row>
    <row r="41" spans="1:15">
      <c r="C41" s="99"/>
    </row>
    <row r="42" spans="1:15">
      <c r="C42" s="99"/>
    </row>
    <row r="43" spans="1:15">
      <c r="C43" s="99"/>
    </row>
  </sheetData>
  <sheetProtection sheet="1" objects="1" scenarios="1"/>
  <pageMargins left="0.70866141732283472" right="0.70866141732283472" top="0.74803149606299213" bottom="0.74803149606299213" header="0.31496062992125984" footer="0.31496062992125984"/>
  <pageSetup paperSize="9" scale="37" fitToHeight="0" orientation="portrait" r:id="rId1"/>
  <rowBreaks count="1" manualBreakCount="1">
    <brk id="70"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12F49-0D39-4C98-BB98-2CC34A88B6E5}">
  <sheetPr codeName="Full10">
    <pageSetUpPr fitToPage="1"/>
  </sheetPr>
  <dimension ref="A1:K56"/>
  <sheetViews>
    <sheetView zoomScaleNormal="100" zoomScaleSheetLayoutView="115" workbookViewId="0">
      <pane ySplit="3" topLeftCell="A4" activePane="bottomLeft" state="frozen"/>
      <selection pane="bottomLeft" activeCell="A4" sqref="A4"/>
    </sheetView>
  </sheetViews>
  <sheetFormatPr defaultColWidth="11.5546875" defaultRowHeight="14.4"/>
  <cols>
    <col min="1" max="16384" width="11.5546875" style="3"/>
  </cols>
  <sheetData>
    <row r="1" spans="1:11">
      <c r="A1" s="92" t="s">
        <v>257</v>
      </c>
      <c r="B1" s="92"/>
      <c r="C1" s="92"/>
      <c r="D1" s="92"/>
      <c r="E1" s="92"/>
      <c r="F1" s="92"/>
      <c r="G1" s="92"/>
      <c r="H1" s="92"/>
      <c r="I1" s="92"/>
      <c r="J1" s="92"/>
      <c r="K1" s="92"/>
    </row>
    <row r="2" spans="1:11">
      <c r="A2" s="92" t="s">
        <v>258</v>
      </c>
      <c r="B2" s="92"/>
      <c r="C2" s="92"/>
      <c r="D2" s="92"/>
      <c r="E2" s="92"/>
      <c r="F2" s="92"/>
      <c r="G2" s="92"/>
      <c r="H2" s="92"/>
      <c r="I2" s="92"/>
      <c r="J2" s="92"/>
      <c r="K2" s="92"/>
    </row>
    <row r="3" spans="1:11" s="2" customFormat="1">
      <c r="A3" s="91" t="s">
        <v>156</v>
      </c>
      <c r="B3" s="91"/>
      <c r="C3" s="91"/>
      <c r="D3" s="91"/>
      <c r="E3" s="91"/>
      <c r="F3" s="91"/>
      <c r="G3" s="91"/>
      <c r="H3" s="91"/>
      <c r="I3" s="91"/>
      <c r="J3" s="91"/>
      <c r="K3" s="91"/>
    </row>
    <row r="4" spans="1:11">
      <c r="A4" s="3" t="s">
        <v>85</v>
      </c>
    </row>
    <row r="5" spans="1:11">
      <c r="A5" s="3" t="s">
        <v>309</v>
      </c>
    </row>
    <row r="6" spans="1:11">
      <c r="B6" s="8" t="s">
        <v>9</v>
      </c>
      <c r="C6" s="9"/>
      <c r="D6" s="9"/>
      <c r="E6" s="9"/>
      <c r="F6" s="9"/>
      <c r="G6" s="9"/>
      <c r="H6" s="9"/>
      <c r="I6" s="9"/>
      <c r="J6" s="10"/>
    </row>
    <row r="7" spans="1:11">
      <c r="A7" s="8" t="s">
        <v>11</v>
      </c>
      <c r="B7" s="145">
        <v>15</v>
      </c>
      <c r="C7" s="11">
        <v>22</v>
      </c>
      <c r="D7" s="11">
        <v>28</v>
      </c>
      <c r="E7" s="11">
        <v>35</v>
      </c>
      <c r="F7" s="11">
        <v>42</v>
      </c>
      <c r="G7" s="11">
        <v>54</v>
      </c>
      <c r="H7" s="11">
        <v>64</v>
      </c>
      <c r="I7" s="11">
        <v>67</v>
      </c>
      <c r="J7" s="11">
        <v>80</v>
      </c>
      <c r="K7" s="11">
        <v>106</v>
      </c>
    </row>
    <row r="8" spans="1:11">
      <c r="A8" s="11">
        <v>25</v>
      </c>
      <c r="B8" s="147">
        <f>+C8*0.9</f>
        <v>14.4</v>
      </c>
      <c r="C8" s="11">
        <v>16</v>
      </c>
      <c r="D8" s="12">
        <v>20</v>
      </c>
      <c r="E8" s="11">
        <v>25</v>
      </c>
      <c r="F8" s="11">
        <v>30</v>
      </c>
      <c r="G8" s="11">
        <v>35</v>
      </c>
      <c r="H8" s="11">
        <v>41</v>
      </c>
      <c r="I8" s="11">
        <v>47</v>
      </c>
      <c r="J8" s="11">
        <v>55</v>
      </c>
      <c r="K8" s="11">
        <v>64</v>
      </c>
    </row>
    <row r="9" spans="1:11" s="4" customFormat="1">
      <c r="A9" s="11">
        <v>30</v>
      </c>
      <c r="B9" s="147">
        <f t="shared" ref="B9:B23" si="0">+C9*0.9</f>
        <v>19.8</v>
      </c>
      <c r="C9" s="11">
        <v>22</v>
      </c>
      <c r="D9" s="12">
        <v>26</v>
      </c>
      <c r="E9" s="11">
        <v>31</v>
      </c>
      <c r="F9" s="11">
        <v>37</v>
      </c>
      <c r="G9" s="11">
        <v>44</v>
      </c>
      <c r="H9" s="11">
        <v>51</v>
      </c>
      <c r="I9" s="11">
        <v>59</v>
      </c>
      <c r="J9" s="11">
        <v>69</v>
      </c>
      <c r="K9" s="11">
        <v>81</v>
      </c>
    </row>
    <row r="10" spans="1:11">
      <c r="A10" s="11">
        <v>35</v>
      </c>
      <c r="B10" s="147">
        <f t="shared" si="0"/>
        <v>24.3</v>
      </c>
      <c r="C10" s="11">
        <v>27</v>
      </c>
      <c r="D10" s="12">
        <v>31</v>
      </c>
      <c r="E10" s="11">
        <v>38</v>
      </c>
      <c r="F10" s="11">
        <v>47</v>
      </c>
      <c r="G10" s="11">
        <v>54</v>
      </c>
      <c r="H10" s="11">
        <v>63</v>
      </c>
      <c r="I10" s="11">
        <v>72</v>
      </c>
      <c r="J10" s="11">
        <v>95</v>
      </c>
      <c r="K10" s="11">
        <v>98</v>
      </c>
    </row>
    <row r="11" spans="1:11">
      <c r="A11" s="11">
        <v>40</v>
      </c>
      <c r="B11" s="147">
        <f t="shared" si="0"/>
        <v>29.7</v>
      </c>
      <c r="C11" s="11">
        <v>33</v>
      </c>
      <c r="D11" s="12">
        <v>38</v>
      </c>
      <c r="E11" s="11">
        <v>47</v>
      </c>
      <c r="F11" s="11">
        <v>57</v>
      </c>
      <c r="G11" s="11">
        <v>62</v>
      </c>
      <c r="H11" s="11">
        <v>76</v>
      </c>
      <c r="I11" s="11">
        <v>87</v>
      </c>
      <c r="J11" s="11">
        <v>102</v>
      </c>
      <c r="K11" s="11">
        <v>119</v>
      </c>
    </row>
    <row r="12" spans="1:11">
      <c r="A12" s="11">
        <v>45</v>
      </c>
      <c r="B12" s="147">
        <f t="shared" si="0"/>
        <v>34.200000000000003</v>
      </c>
      <c r="C12" s="11">
        <v>38</v>
      </c>
      <c r="D12" s="12">
        <v>45</v>
      </c>
      <c r="E12" s="11">
        <v>55</v>
      </c>
      <c r="F12" s="11">
        <v>66</v>
      </c>
      <c r="G12" s="11">
        <v>78</v>
      </c>
      <c r="H12" s="11">
        <v>91</v>
      </c>
      <c r="I12" s="11">
        <v>102</v>
      </c>
      <c r="J12" s="11">
        <v>121</v>
      </c>
      <c r="K12" s="11">
        <v>140</v>
      </c>
    </row>
    <row r="13" spans="1:11">
      <c r="A13" s="11">
        <v>50</v>
      </c>
      <c r="B13" s="147">
        <f t="shared" si="0"/>
        <v>39.6</v>
      </c>
      <c r="C13" s="11">
        <v>44</v>
      </c>
      <c r="D13" s="12">
        <v>53</v>
      </c>
      <c r="E13" s="11">
        <v>64</v>
      </c>
      <c r="F13" s="11">
        <v>78</v>
      </c>
      <c r="G13" s="11">
        <v>91</v>
      </c>
      <c r="H13" s="11">
        <v>102</v>
      </c>
      <c r="I13" s="11">
        <v>120</v>
      </c>
      <c r="J13" s="11">
        <v>140</v>
      </c>
      <c r="K13" s="11">
        <v>162</v>
      </c>
    </row>
    <row r="14" spans="1:11">
      <c r="A14" s="11">
        <v>55</v>
      </c>
      <c r="B14" s="147">
        <f t="shared" si="0"/>
        <v>45.9</v>
      </c>
      <c r="C14" s="11">
        <v>51</v>
      </c>
      <c r="D14" s="12">
        <v>60</v>
      </c>
      <c r="E14" s="11">
        <v>73</v>
      </c>
      <c r="F14" s="11">
        <v>88</v>
      </c>
      <c r="G14" s="11">
        <v>104</v>
      </c>
      <c r="H14" s="11">
        <v>120</v>
      </c>
      <c r="I14" s="11">
        <v>137</v>
      </c>
      <c r="J14" s="11">
        <v>160</v>
      </c>
      <c r="K14" s="11">
        <v>191</v>
      </c>
    </row>
    <row r="15" spans="1:11">
      <c r="A15" s="11">
        <v>60</v>
      </c>
      <c r="B15" s="147">
        <f t="shared" si="0"/>
        <v>52.2</v>
      </c>
      <c r="C15" s="11">
        <v>58</v>
      </c>
      <c r="D15" s="12">
        <v>69</v>
      </c>
      <c r="E15" s="11">
        <v>83</v>
      </c>
      <c r="F15" s="11">
        <v>100</v>
      </c>
      <c r="G15" s="11">
        <v>116</v>
      </c>
      <c r="H15" s="11">
        <v>135</v>
      </c>
      <c r="I15" s="11">
        <v>155</v>
      </c>
      <c r="J15" s="11">
        <v>180</v>
      </c>
      <c r="K15" s="11">
        <v>209</v>
      </c>
    </row>
    <row r="16" spans="1:11">
      <c r="A16" s="11">
        <v>65</v>
      </c>
      <c r="B16" s="147">
        <f t="shared" si="0"/>
        <v>58.5</v>
      </c>
      <c r="C16" s="11">
        <v>65</v>
      </c>
      <c r="D16" s="12">
        <v>77</v>
      </c>
      <c r="E16" s="11">
        <v>92</v>
      </c>
      <c r="F16" s="11">
        <v>112</v>
      </c>
      <c r="G16" s="11">
        <v>130</v>
      </c>
      <c r="H16" s="11">
        <v>151</v>
      </c>
      <c r="I16" s="11">
        <v>173</v>
      </c>
      <c r="J16" s="11">
        <v>202</v>
      </c>
      <c r="K16" s="11">
        <v>236</v>
      </c>
    </row>
    <row r="17" spans="1:11">
      <c r="A17" s="11">
        <v>70</v>
      </c>
      <c r="B17" s="147">
        <f t="shared" si="0"/>
        <v>64.8</v>
      </c>
      <c r="C17" s="11">
        <v>72</v>
      </c>
      <c r="D17" s="12">
        <v>86</v>
      </c>
      <c r="E17" s="11">
        <v>102</v>
      </c>
      <c r="F17" s="11">
        <v>124</v>
      </c>
      <c r="G17" s="11">
        <v>145</v>
      </c>
      <c r="H17" s="11">
        <v>166</v>
      </c>
      <c r="I17" s="11">
        <v>195</v>
      </c>
      <c r="J17" s="11">
        <v>214</v>
      </c>
      <c r="K17" s="11">
        <v>266</v>
      </c>
    </row>
    <row r="18" spans="1:11">
      <c r="A18" s="11">
        <v>75</v>
      </c>
      <c r="B18" s="147">
        <f t="shared" si="0"/>
        <v>71.100000000000009</v>
      </c>
      <c r="C18" s="11">
        <v>79</v>
      </c>
      <c r="D18" s="12">
        <v>94</v>
      </c>
      <c r="E18" s="11">
        <v>114</v>
      </c>
      <c r="F18" s="11">
        <v>137</v>
      </c>
      <c r="G18" s="11">
        <v>160</v>
      </c>
      <c r="H18" s="11">
        <v>186</v>
      </c>
      <c r="I18" s="11">
        <v>216</v>
      </c>
      <c r="J18" s="11">
        <v>249</v>
      </c>
      <c r="K18" s="11">
        <v>288</v>
      </c>
    </row>
    <row r="19" spans="1:11">
      <c r="A19" s="11">
        <v>80</v>
      </c>
      <c r="B19" s="147">
        <f t="shared" si="0"/>
        <v>78.3</v>
      </c>
      <c r="C19" s="11">
        <v>87</v>
      </c>
      <c r="D19" s="12">
        <v>104</v>
      </c>
      <c r="E19" s="11">
        <v>124</v>
      </c>
      <c r="F19" s="11">
        <v>151</v>
      </c>
      <c r="G19" s="11">
        <v>176</v>
      </c>
      <c r="H19" s="11">
        <v>203</v>
      </c>
      <c r="I19" s="11">
        <v>233</v>
      </c>
      <c r="J19" s="11">
        <v>272</v>
      </c>
      <c r="K19" s="11">
        <v>316</v>
      </c>
    </row>
    <row r="20" spans="1:11">
      <c r="A20" s="11">
        <v>85</v>
      </c>
      <c r="B20" s="147">
        <f t="shared" si="0"/>
        <v>85.5</v>
      </c>
      <c r="C20" s="11">
        <v>95</v>
      </c>
      <c r="D20" s="12">
        <v>113</v>
      </c>
      <c r="E20" s="11">
        <v>135</v>
      </c>
      <c r="F20" s="11">
        <v>164</v>
      </c>
      <c r="G20" s="11">
        <v>191</v>
      </c>
      <c r="H20" s="11">
        <v>221</v>
      </c>
      <c r="I20" s="11">
        <v>256</v>
      </c>
      <c r="J20" s="11">
        <v>296</v>
      </c>
      <c r="K20" s="11">
        <v>345</v>
      </c>
    </row>
    <row r="21" spans="1:11">
      <c r="A21" s="11">
        <v>90</v>
      </c>
      <c r="B21" s="147">
        <f t="shared" si="0"/>
        <v>91.8</v>
      </c>
      <c r="C21" s="11">
        <v>102</v>
      </c>
      <c r="D21" s="12">
        <v>122</v>
      </c>
      <c r="E21" s="11">
        <v>147</v>
      </c>
      <c r="F21" s="11">
        <v>178</v>
      </c>
      <c r="G21" s="11">
        <v>208</v>
      </c>
      <c r="H21" s="11">
        <v>238</v>
      </c>
      <c r="I21" s="11">
        <v>273</v>
      </c>
      <c r="J21" s="11">
        <v>321</v>
      </c>
      <c r="K21" s="11">
        <v>373</v>
      </c>
    </row>
    <row r="22" spans="1:11">
      <c r="A22" s="11">
        <v>95</v>
      </c>
      <c r="B22" s="147">
        <f t="shared" si="0"/>
        <v>100.8</v>
      </c>
      <c r="C22" s="11">
        <v>112</v>
      </c>
      <c r="D22" s="12">
        <v>131</v>
      </c>
      <c r="E22" s="11">
        <v>158</v>
      </c>
      <c r="F22" s="11">
        <v>192</v>
      </c>
      <c r="G22" s="11">
        <v>224</v>
      </c>
      <c r="H22" s="11">
        <v>256</v>
      </c>
      <c r="I22" s="11">
        <v>296</v>
      </c>
      <c r="J22" s="11">
        <v>348</v>
      </c>
      <c r="K22" s="11">
        <v>404</v>
      </c>
    </row>
    <row r="23" spans="1:11">
      <c r="A23" s="11">
        <v>100</v>
      </c>
      <c r="B23" s="147">
        <f t="shared" si="0"/>
        <v>107.10000000000001</v>
      </c>
      <c r="C23" s="11">
        <v>119</v>
      </c>
      <c r="D23" s="12">
        <v>142</v>
      </c>
      <c r="E23" s="11">
        <v>170</v>
      </c>
      <c r="F23" s="11">
        <v>207</v>
      </c>
      <c r="G23" s="11">
        <v>240</v>
      </c>
      <c r="H23" s="11">
        <v>279</v>
      </c>
      <c r="I23" s="11">
        <v>320</v>
      </c>
      <c r="J23" s="11">
        <v>374</v>
      </c>
      <c r="K23" s="11">
        <v>435</v>
      </c>
    </row>
    <row r="25" spans="1:11">
      <c r="A25" s="3" t="s">
        <v>259</v>
      </c>
    </row>
    <row r="26" spans="1:11">
      <c r="A26" s="8" t="s">
        <v>25</v>
      </c>
      <c r="B26" s="10"/>
      <c r="C26" s="25" t="s">
        <v>26</v>
      </c>
      <c r="D26" s="26"/>
      <c r="E26" s="26"/>
      <c r="F26" s="26"/>
      <c r="G26" s="26"/>
      <c r="H26" s="26"/>
      <c r="I26" s="26"/>
      <c r="J26" s="27"/>
    </row>
    <row r="27" spans="1:11">
      <c r="A27" s="17" t="s">
        <v>30</v>
      </c>
      <c r="B27" s="17" t="s">
        <v>17</v>
      </c>
      <c r="C27" s="11">
        <v>20</v>
      </c>
      <c r="D27" s="146">
        <v>25</v>
      </c>
      <c r="E27" s="11">
        <v>30</v>
      </c>
      <c r="F27" s="146">
        <v>35</v>
      </c>
      <c r="G27" s="11">
        <v>40</v>
      </c>
      <c r="H27" s="146">
        <v>40</v>
      </c>
      <c r="I27" s="11">
        <v>50</v>
      </c>
      <c r="J27" s="146">
        <v>55</v>
      </c>
    </row>
    <row r="28" spans="1:11">
      <c r="A28" s="29">
        <v>15</v>
      </c>
      <c r="B28" s="19" t="s">
        <v>22</v>
      </c>
      <c r="C28" s="11">
        <v>0.155</v>
      </c>
      <c r="D28" s="148">
        <f>+AVERAGE(C28,E28)</f>
        <v>0.14500000000000002</v>
      </c>
      <c r="E28" s="11">
        <v>0.13500000000000001</v>
      </c>
      <c r="F28" s="148">
        <f>+AVERAGE(E28,G28)</f>
        <v>0.13</v>
      </c>
      <c r="G28" s="11">
        <v>0.125</v>
      </c>
      <c r="H28" s="149" t="s">
        <v>33</v>
      </c>
      <c r="I28" s="149" t="s">
        <v>33</v>
      </c>
      <c r="J28" s="149" t="s">
        <v>33</v>
      </c>
    </row>
    <row r="29" spans="1:11">
      <c r="A29" s="29">
        <v>22</v>
      </c>
      <c r="B29" s="21" t="s">
        <v>23</v>
      </c>
      <c r="C29" s="11">
        <v>0.185</v>
      </c>
      <c r="D29" s="148">
        <f t="shared" ref="D29:H37" si="1">+AVERAGE(C29,E29)</f>
        <v>0.17499999999999999</v>
      </c>
      <c r="E29" s="11">
        <v>0.16500000000000001</v>
      </c>
      <c r="F29" s="148">
        <f t="shared" si="1"/>
        <v>0.155</v>
      </c>
      <c r="G29" s="11">
        <v>0.14499999999999999</v>
      </c>
      <c r="H29" s="149" t="s">
        <v>33</v>
      </c>
      <c r="I29" s="149" t="s">
        <v>33</v>
      </c>
      <c r="J29" s="149" t="s">
        <v>33</v>
      </c>
    </row>
    <row r="30" spans="1:11">
      <c r="A30" s="29">
        <v>28</v>
      </c>
      <c r="B30" s="15">
        <v>1</v>
      </c>
      <c r="C30" s="11">
        <v>0.20499999999999999</v>
      </c>
      <c r="D30" s="148">
        <f t="shared" si="1"/>
        <v>0.19500000000000001</v>
      </c>
      <c r="E30" s="11">
        <v>0.185</v>
      </c>
      <c r="F30" s="148">
        <f t="shared" si="1"/>
        <v>0.17499999999999999</v>
      </c>
      <c r="G30" s="11">
        <v>0.16500000000000001</v>
      </c>
      <c r="H30" s="149" t="s">
        <v>33</v>
      </c>
      <c r="I30" s="149" t="s">
        <v>33</v>
      </c>
      <c r="J30" s="149" t="s">
        <v>33</v>
      </c>
    </row>
    <row r="31" spans="1:11">
      <c r="A31" s="29">
        <v>35</v>
      </c>
      <c r="B31" s="22">
        <v>1.25</v>
      </c>
      <c r="C31" s="11">
        <v>0.245</v>
      </c>
      <c r="D31" s="148">
        <f t="shared" si="1"/>
        <v>0.22499999999999998</v>
      </c>
      <c r="E31" s="11">
        <v>0.20499999999999999</v>
      </c>
      <c r="F31" s="148">
        <f t="shared" si="1"/>
        <v>0.19</v>
      </c>
      <c r="G31" s="11">
        <v>0.17499999999999999</v>
      </c>
      <c r="H31" s="148">
        <f t="shared" si="1"/>
        <v>0.16999999999999998</v>
      </c>
      <c r="I31" s="11">
        <v>0.16500000000000001</v>
      </c>
      <c r="J31" s="148">
        <f>+(H31/G31*I31)</f>
        <v>0.16028571428571428</v>
      </c>
    </row>
    <row r="32" spans="1:11">
      <c r="A32" s="29">
        <v>42</v>
      </c>
      <c r="B32" s="22">
        <v>1.5</v>
      </c>
      <c r="C32" s="11">
        <v>0.28499999999999998</v>
      </c>
      <c r="D32" s="148">
        <f t="shared" si="1"/>
        <v>0.26</v>
      </c>
      <c r="E32" s="11">
        <v>0.23499999999999999</v>
      </c>
      <c r="F32" s="148">
        <f t="shared" si="1"/>
        <v>0.21999999999999997</v>
      </c>
      <c r="G32" s="11">
        <v>0.20499999999999999</v>
      </c>
      <c r="H32" s="148">
        <f t="shared" si="1"/>
        <v>0.19500000000000001</v>
      </c>
      <c r="I32" s="11">
        <v>0.185</v>
      </c>
      <c r="J32" s="148">
        <f t="shared" ref="J32:J37" si="2">+(H32/G32*I32)</f>
        <v>0.17597560975609758</v>
      </c>
    </row>
    <row r="33" spans="1:10">
      <c r="A33" s="29">
        <v>48</v>
      </c>
      <c r="B33" s="15">
        <v>2</v>
      </c>
      <c r="C33" s="11">
        <v>0.33500000000000002</v>
      </c>
      <c r="D33" s="148">
        <f t="shared" si="1"/>
        <v>0.30000000000000004</v>
      </c>
      <c r="E33" s="11">
        <v>0.26500000000000001</v>
      </c>
      <c r="F33" s="148">
        <f t="shared" si="1"/>
        <v>0.25</v>
      </c>
      <c r="G33" s="11">
        <v>0.23499999999999999</v>
      </c>
      <c r="H33" s="148">
        <f t="shared" si="1"/>
        <v>0.22499999999999998</v>
      </c>
      <c r="I33" s="11">
        <v>0.215</v>
      </c>
      <c r="J33" s="148">
        <f t="shared" si="2"/>
        <v>0.20585106382978721</v>
      </c>
    </row>
    <row r="34" spans="1:10">
      <c r="A34" s="29">
        <v>54</v>
      </c>
      <c r="B34" s="15">
        <v>2</v>
      </c>
      <c r="C34" s="11">
        <v>0.40500000000000003</v>
      </c>
      <c r="D34" s="148">
        <f t="shared" si="1"/>
        <v>0.35499999999999998</v>
      </c>
      <c r="E34" s="11">
        <v>0.30499999999999999</v>
      </c>
      <c r="F34" s="148">
        <f t="shared" si="1"/>
        <v>0.28000000000000003</v>
      </c>
      <c r="G34" s="11">
        <v>0.255</v>
      </c>
      <c r="H34" s="148">
        <f t="shared" si="1"/>
        <v>0.245</v>
      </c>
      <c r="I34" s="11">
        <v>0.23499999999999999</v>
      </c>
      <c r="J34" s="148">
        <f t="shared" si="2"/>
        <v>0.22578431372549015</v>
      </c>
    </row>
    <row r="35" spans="1:10">
      <c r="A35" s="29">
        <v>64</v>
      </c>
      <c r="B35" s="22">
        <v>2.5</v>
      </c>
      <c r="C35" s="11">
        <v>0.45500000000000002</v>
      </c>
      <c r="D35" s="148">
        <f t="shared" si="1"/>
        <v>0.4</v>
      </c>
      <c r="E35" s="11">
        <v>0.34499999999999997</v>
      </c>
      <c r="F35" s="148">
        <f t="shared" si="1"/>
        <v>0.31</v>
      </c>
      <c r="G35" s="11">
        <v>0.27500000000000002</v>
      </c>
      <c r="H35" s="148">
        <f t="shared" si="1"/>
        <v>0.26500000000000001</v>
      </c>
      <c r="I35" s="11">
        <v>0.255</v>
      </c>
      <c r="J35" s="148">
        <f t="shared" si="2"/>
        <v>0.24572727272727274</v>
      </c>
    </row>
    <row r="36" spans="1:10">
      <c r="A36" s="29">
        <v>80</v>
      </c>
      <c r="B36" s="15">
        <v>3</v>
      </c>
      <c r="C36" s="11">
        <v>0.505</v>
      </c>
      <c r="D36" s="148">
        <f t="shared" si="1"/>
        <v>0.45</v>
      </c>
      <c r="E36" s="11">
        <v>0.39500000000000002</v>
      </c>
      <c r="F36" s="148">
        <f t="shared" si="1"/>
        <v>0.35499999999999998</v>
      </c>
      <c r="G36" s="11">
        <v>0.315</v>
      </c>
      <c r="H36" s="148">
        <f t="shared" si="1"/>
        <v>0.3</v>
      </c>
      <c r="I36" s="11">
        <v>0.28499999999999998</v>
      </c>
      <c r="J36" s="148">
        <f t="shared" si="2"/>
        <v>0.27142857142857141</v>
      </c>
    </row>
    <row r="37" spans="1:10">
      <c r="A37" s="29">
        <v>100</v>
      </c>
      <c r="B37" s="15">
        <v>4</v>
      </c>
      <c r="C37" s="11">
        <v>0.76500000000000001</v>
      </c>
      <c r="D37" s="148">
        <f t="shared" si="1"/>
        <v>0.64</v>
      </c>
      <c r="E37" s="11">
        <v>0.51500000000000001</v>
      </c>
      <c r="F37" s="148">
        <f t="shared" si="1"/>
        <v>0.45500000000000002</v>
      </c>
      <c r="G37" s="11">
        <v>0.39500000000000002</v>
      </c>
      <c r="H37" s="148">
        <f t="shared" si="1"/>
        <v>0.37</v>
      </c>
      <c r="I37" s="11">
        <v>0.34499999999999997</v>
      </c>
      <c r="J37" s="148">
        <f t="shared" si="2"/>
        <v>0.32316455696202528</v>
      </c>
    </row>
    <row r="39" spans="1:10">
      <c r="A39" s="234" t="s">
        <v>260</v>
      </c>
      <c r="B39" s="234"/>
      <c r="C39" s="234"/>
      <c r="D39" s="234"/>
      <c r="E39" s="234"/>
      <c r="F39" s="234"/>
      <c r="G39" s="234"/>
      <c r="H39" s="234"/>
      <c r="I39" s="234"/>
      <c r="J39" s="234"/>
    </row>
    <row r="40" spans="1:10">
      <c r="A40" s="8" t="s">
        <v>25</v>
      </c>
      <c r="B40" s="10"/>
      <c r="C40" s="25" t="s">
        <v>41</v>
      </c>
      <c r="D40" s="26"/>
      <c r="E40" s="26"/>
      <c r="F40" s="27"/>
    </row>
    <row r="41" spans="1:10">
      <c r="A41" s="17" t="s">
        <v>30</v>
      </c>
      <c r="B41" s="17" t="s">
        <v>17</v>
      </c>
      <c r="C41" s="17">
        <v>20</v>
      </c>
      <c r="D41" s="17">
        <v>25</v>
      </c>
      <c r="E41" s="17">
        <v>30</v>
      </c>
      <c r="F41" s="17">
        <v>35</v>
      </c>
      <c r="G41" s="17">
        <v>40</v>
      </c>
      <c r="H41" s="17">
        <v>45</v>
      </c>
      <c r="I41" s="17">
        <v>50</v>
      </c>
      <c r="J41" s="17">
        <v>55</v>
      </c>
    </row>
    <row r="42" spans="1:10">
      <c r="A42" s="29">
        <v>15</v>
      </c>
      <c r="B42" s="19" t="s">
        <v>22</v>
      </c>
      <c r="C42" s="93">
        <v>11.52</v>
      </c>
      <c r="D42" s="65">
        <f>+C42*1.04</f>
        <v>11.9808</v>
      </c>
      <c r="E42" s="65">
        <f t="shared" ref="E42" si="3">+D42*1.04</f>
        <v>12.460032</v>
      </c>
      <c r="F42" s="65">
        <f>+E42*1.1</f>
        <v>13.706035200000001</v>
      </c>
      <c r="G42" s="65">
        <f>+G43*0.9</f>
        <v>16.911000000000001</v>
      </c>
      <c r="H42" s="65">
        <f>+I42*0.9</f>
        <v>26.859599999999997</v>
      </c>
      <c r="I42" s="65">
        <f>+I43*0.9</f>
        <v>29.843999999999998</v>
      </c>
      <c r="J42" s="65">
        <f>+I42*1.1</f>
        <v>32.828400000000002</v>
      </c>
    </row>
    <row r="43" spans="1:10">
      <c r="A43" s="29">
        <v>22</v>
      </c>
      <c r="B43" s="21" t="s">
        <v>23</v>
      </c>
      <c r="C43" s="65">
        <f>+C42*1.08</f>
        <v>12.441600000000001</v>
      </c>
      <c r="D43" s="65">
        <f>+D42*1.05</f>
        <v>12.579840000000001</v>
      </c>
      <c r="E43" s="93">
        <v>12.66</v>
      </c>
      <c r="F43" s="93">
        <v>13.66</v>
      </c>
      <c r="G43" s="93">
        <v>18.79</v>
      </c>
      <c r="H43" s="65">
        <f t="shared" ref="H43:H51" si="4">+I43*0.9</f>
        <v>29.843999999999998</v>
      </c>
      <c r="I43" s="93">
        <v>33.159999999999997</v>
      </c>
      <c r="J43" s="65">
        <f t="shared" ref="J43:J51" si="5">+I43*1.1</f>
        <v>36.475999999999999</v>
      </c>
    </row>
    <row r="44" spans="1:10">
      <c r="A44" s="29">
        <v>28</v>
      </c>
      <c r="B44" s="15">
        <v>1</v>
      </c>
      <c r="C44" s="65">
        <f t="shared" ref="C44:C47" si="6">+C43*1.08</f>
        <v>13.436928000000002</v>
      </c>
      <c r="D44" s="65">
        <f t="shared" ref="D44:D48" si="7">+D43*1.08</f>
        <v>13.586227200000002</v>
      </c>
      <c r="E44" s="65">
        <f>+E43*1.1</f>
        <v>13.926000000000002</v>
      </c>
      <c r="F44" s="65">
        <f>+F43*1.1</f>
        <v>15.026000000000002</v>
      </c>
      <c r="G44" s="65">
        <f>+G43*1.1</f>
        <v>20.669</v>
      </c>
      <c r="H44" s="65">
        <f t="shared" si="4"/>
        <v>31.336199999999998</v>
      </c>
      <c r="I44" s="65">
        <f>+I43*1.05</f>
        <v>34.817999999999998</v>
      </c>
      <c r="J44" s="65">
        <f t="shared" si="5"/>
        <v>38.299799999999998</v>
      </c>
    </row>
    <row r="45" spans="1:10">
      <c r="A45" s="29">
        <v>35</v>
      </c>
      <c r="B45" s="22">
        <v>1.25</v>
      </c>
      <c r="C45" s="65">
        <f t="shared" si="6"/>
        <v>14.511882240000002</v>
      </c>
      <c r="D45" s="65">
        <f t="shared" si="7"/>
        <v>14.673125376000003</v>
      </c>
      <c r="E45" s="65">
        <f t="shared" ref="E45:F47" si="8">+E44*1.1</f>
        <v>15.318600000000004</v>
      </c>
      <c r="F45" s="65">
        <f t="shared" si="8"/>
        <v>16.528600000000004</v>
      </c>
      <c r="G45" s="65">
        <f t="shared" ref="G45:G47" si="9">+G44*1.1</f>
        <v>22.735900000000001</v>
      </c>
      <c r="H45" s="65">
        <f t="shared" si="4"/>
        <v>32.903010000000002</v>
      </c>
      <c r="I45" s="65">
        <f t="shared" ref="I45:I46" si="10">+I44*1.05</f>
        <v>36.558900000000001</v>
      </c>
      <c r="J45" s="65">
        <f t="shared" si="5"/>
        <v>40.214790000000008</v>
      </c>
    </row>
    <row r="46" spans="1:10">
      <c r="A46" s="29">
        <v>42</v>
      </c>
      <c r="B46" s="22">
        <v>1.5</v>
      </c>
      <c r="C46" s="65">
        <f t="shared" si="6"/>
        <v>15.672832819200003</v>
      </c>
      <c r="D46" s="65">
        <f t="shared" si="7"/>
        <v>15.846975406080004</v>
      </c>
      <c r="E46" s="65">
        <f t="shared" si="8"/>
        <v>16.850460000000005</v>
      </c>
      <c r="F46" s="65">
        <f t="shared" si="8"/>
        <v>18.181460000000005</v>
      </c>
      <c r="G46" s="65">
        <f t="shared" si="9"/>
        <v>25.009490000000003</v>
      </c>
      <c r="H46" s="65">
        <f t="shared" si="4"/>
        <v>34.548160500000002</v>
      </c>
      <c r="I46" s="65">
        <f t="shared" si="10"/>
        <v>38.386845000000001</v>
      </c>
      <c r="J46" s="65">
        <f t="shared" si="5"/>
        <v>42.225529500000007</v>
      </c>
    </row>
    <row r="47" spans="1:10">
      <c r="A47" s="29">
        <v>48</v>
      </c>
      <c r="B47" s="15">
        <v>2</v>
      </c>
      <c r="C47" s="65">
        <f t="shared" si="6"/>
        <v>16.926659444736003</v>
      </c>
      <c r="D47" s="65">
        <f t="shared" si="7"/>
        <v>17.114733438566404</v>
      </c>
      <c r="E47" s="65">
        <f t="shared" si="8"/>
        <v>18.535506000000009</v>
      </c>
      <c r="F47" s="65">
        <f t="shared" si="8"/>
        <v>19.999606000000007</v>
      </c>
      <c r="G47" s="65">
        <f t="shared" si="9"/>
        <v>27.510439000000005</v>
      </c>
      <c r="H47" s="65">
        <f t="shared" si="4"/>
        <v>36.275568525000004</v>
      </c>
      <c r="I47" s="65">
        <f>+I46*1.05</f>
        <v>40.306187250000001</v>
      </c>
      <c r="J47" s="65">
        <f t="shared" si="5"/>
        <v>44.336805975000004</v>
      </c>
    </row>
    <row r="48" spans="1:10">
      <c r="A48" s="29">
        <v>54</v>
      </c>
      <c r="B48" s="15">
        <v>2</v>
      </c>
      <c r="C48" s="93">
        <v>17.93</v>
      </c>
      <c r="D48" s="65">
        <f t="shared" si="7"/>
        <v>18.483912113651716</v>
      </c>
      <c r="E48" s="93">
        <v>19.91</v>
      </c>
      <c r="F48" s="93">
        <v>20.91</v>
      </c>
      <c r="G48" s="93">
        <v>29.01</v>
      </c>
      <c r="H48" s="65">
        <f>+I48*0.9</f>
        <v>38.681999999999995</v>
      </c>
      <c r="I48" s="93">
        <v>42.98</v>
      </c>
      <c r="J48" s="65">
        <f t="shared" si="5"/>
        <v>47.277999999999999</v>
      </c>
    </row>
    <row r="49" spans="1:10">
      <c r="A49" s="29">
        <v>64</v>
      </c>
      <c r="B49" s="22">
        <v>2.5</v>
      </c>
      <c r="C49" s="65">
        <f>+C48*1.1</f>
        <v>19.723000000000003</v>
      </c>
      <c r="D49" s="65">
        <f>+D48*1.1</f>
        <v>20.332303325016888</v>
      </c>
      <c r="E49" s="65">
        <f t="shared" ref="E49:E51" si="11">+E48*1.1</f>
        <v>21.901000000000003</v>
      </c>
      <c r="F49" s="65">
        <f t="shared" ref="F49" si="12">+F48*1.1</f>
        <v>23.001000000000001</v>
      </c>
      <c r="G49" s="65">
        <f t="shared" ref="G49:G51" si="13">+G48*1.1</f>
        <v>31.911000000000005</v>
      </c>
      <c r="H49" s="65">
        <f t="shared" si="4"/>
        <v>42.550199999999997</v>
      </c>
      <c r="I49" s="65">
        <f>+I48*1.1</f>
        <v>47.277999999999999</v>
      </c>
      <c r="J49" s="65">
        <f t="shared" si="5"/>
        <v>52.005800000000001</v>
      </c>
    </row>
    <row r="50" spans="1:10">
      <c r="A50" s="29">
        <v>80</v>
      </c>
      <c r="B50" s="15">
        <v>3</v>
      </c>
      <c r="C50" s="65">
        <f t="shared" ref="C50:D51" si="14">+C49*1.1</f>
        <v>21.695300000000003</v>
      </c>
      <c r="D50" s="65">
        <f t="shared" si="14"/>
        <v>22.365533657518579</v>
      </c>
      <c r="E50" s="65">
        <f t="shared" si="11"/>
        <v>24.091100000000004</v>
      </c>
      <c r="F50" s="65">
        <f t="shared" ref="F50" si="15">+F49*1.1</f>
        <v>25.301100000000002</v>
      </c>
      <c r="G50" s="65">
        <f t="shared" si="13"/>
        <v>35.102100000000007</v>
      </c>
      <c r="H50" s="65">
        <f t="shared" si="4"/>
        <v>46.805219999999998</v>
      </c>
      <c r="I50" s="65">
        <f>+I49*1.1</f>
        <v>52.005800000000001</v>
      </c>
      <c r="J50" s="65">
        <f t="shared" si="5"/>
        <v>57.206380000000003</v>
      </c>
    </row>
    <row r="51" spans="1:10">
      <c r="A51" s="29">
        <v>100</v>
      </c>
      <c r="B51" s="15">
        <v>4</v>
      </c>
      <c r="C51" s="65">
        <f t="shared" si="14"/>
        <v>23.864830000000005</v>
      </c>
      <c r="D51" s="65">
        <f t="shared" si="14"/>
        <v>24.602087023270439</v>
      </c>
      <c r="E51" s="65">
        <f t="shared" si="11"/>
        <v>26.500210000000006</v>
      </c>
      <c r="F51" s="65">
        <f t="shared" ref="F51" si="16">+F50*1.1</f>
        <v>27.831210000000006</v>
      </c>
      <c r="G51" s="65">
        <f t="shared" si="13"/>
        <v>38.612310000000008</v>
      </c>
      <c r="H51" s="65">
        <f t="shared" si="4"/>
        <v>51.485742000000002</v>
      </c>
      <c r="I51" s="65">
        <f>+I50*1.1</f>
        <v>57.206380000000003</v>
      </c>
      <c r="J51" s="65">
        <f t="shared" si="5"/>
        <v>62.927018000000011</v>
      </c>
    </row>
    <row r="52" spans="1:10">
      <c r="A52" s="3" t="s">
        <v>1067</v>
      </c>
    </row>
    <row r="53" spans="1:10">
      <c r="A53" s="3" t="s">
        <v>1066</v>
      </c>
    </row>
    <row r="55" spans="1:10">
      <c r="A55" s="234" t="s">
        <v>261</v>
      </c>
      <c r="B55" s="198"/>
      <c r="C55" s="198"/>
      <c r="D55" s="198"/>
      <c r="E55" s="198"/>
      <c r="F55" s="198"/>
      <c r="G55" s="198"/>
      <c r="H55" s="198"/>
      <c r="I55" s="198"/>
      <c r="J55" s="198"/>
    </row>
    <row r="56" spans="1:10">
      <c r="A56" s="478" t="s">
        <v>1049</v>
      </c>
    </row>
  </sheetData>
  <sheetProtection sheet="1" objects="1" scenarios="1"/>
  <hyperlinks>
    <hyperlink ref="A56" r:id="rId1" xr:uid="{898CA5AF-0155-47E3-A25E-508BB6537E46}"/>
  </hyperlinks>
  <pageMargins left="0.70866141732283472" right="0.39370078740157483" top="0.74803149606299213" bottom="0.74803149606299213" header="0.31496062992125984" footer="0.31496062992125984"/>
  <pageSetup paperSize="9" scale="62" fitToHeight="0"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A8649-ACDA-4C38-B9D1-F58297951383}">
  <sheetPr codeName="Full11"/>
  <dimension ref="A1:AM32"/>
  <sheetViews>
    <sheetView topLeftCell="D1" zoomScale="85" zoomScaleNormal="85" workbookViewId="0">
      <selection activeCell="S29" sqref="S29"/>
    </sheetView>
  </sheetViews>
  <sheetFormatPr defaultRowHeight="14.4"/>
  <sheetData>
    <row r="1" spans="1:39">
      <c r="A1" t="s">
        <v>221</v>
      </c>
      <c r="K1" t="s">
        <v>222</v>
      </c>
      <c r="U1" t="s">
        <v>223</v>
      </c>
      <c r="AE1" t="s">
        <v>240</v>
      </c>
    </row>
    <row r="2" spans="1:39">
      <c r="A2" s="72" t="s">
        <v>160</v>
      </c>
      <c r="B2" s="72" t="s">
        <v>161</v>
      </c>
      <c r="C2" s="72" t="s">
        <v>162</v>
      </c>
      <c r="D2" s="73" t="s">
        <v>163</v>
      </c>
      <c r="E2" s="72" t="s">
        <v>164</v>
      </c>
      <c r="F2" s="72"/>
      <c r="G2" s="72" t="s">
        <v>165</v>
      </c>
      <c r="H2" s="72"/>
      <c r="I2" s="72" t="s">
        <v>166</v>
      </c>
      <c r="K2" s="70" t="s">
        <v>205</v>
      </c>
      <c r="U2" s="70" t="s">
        <v>224</v>
      </c>
      <c r="AE2" s="70" t="s">
        <v>241</v>
      </c>
    </row>
    <row r="3" spans="1:39" ht="15">
      <c r="A3" s="592" t="s">
        <v>167</v>
      </c>
      <c r="B3" s="590" t="s">
        <v>168</v>
      </c>
      <c r="C3" s="66" t="s">
        <v>169</v>
      </c>
      <c r="D3" s="589" t="s">
        <v>171</v>
      </c>
      <c r="E3" s="591" t="s">
        <v>172</v>
      </c>
      <c r="F3" s="586" t="s">
        <v>173</v>
      </c>
      <c r="G3" s="591" t="s">
        <v>174</v>
      </c>
      <c r="H3" s="586" t="s">
        <v>175</v>
      </c>
      <c r="I3" s="587">
        <v>2.6613000000000002</v>
      </c>
      <c r="K3" s="71" t="s">
        <v>198</v>
      </c>
      <c r="U3" s="71" t="s">
        <v>198</v>
      </c>
      <c r="AE3" s="71" t="s">
        <v>198</v>
      </c>
    </row>
    <row r="4" spans="1:39">
      <c r="A4" s="592"/>
      <c r="B4" s="590"/>
      <c r="C4" s="66" t="s">
        <v>170</v>
      </c>
      <c r="D4" s="589"/>
      <c r="E4" s="591"/>
      <c r="F4" s="586"/>
      <c r="G4" s="591"/>
      <c r="H4" s="586"/>
      <c r="I4" s="587"/>
      <c r="K4" s="72" t="s">
        <v>160</v>
      </c>
      <c r="L4" s="72" t="s">
        <v>161</v>
      </c>
      <c r="M4" s="72" t="s">
        <v>162</v>
      </c>
      <c r="N4" s="73" t="s">
        <v>163</v>
      </c>
      <c r="O4" s="72" t="s">
        <v>164</v>
      </c>
      <c r="P4" s="72"/>
      <c r="Q4" s="72" t="s">
        <v>165</v>
      </c>
      <c r="R4" s="72"/>
      <c r="S4" s="72" t="s">
        <v>166</v>
      </c>
      <c r="U4" s="72" t="s">
        <v>160</v>
      </c>
      <c r="V4" s="72" t="s">
        <v>161</v>
      </c>
      <c r="W4" s="72" t="s">
        <v>162</v>
      </c>
      <c r="X4" s="73" t="s">
        <v>163</v>
      </c>
      <c r="Y4" s="72" t="s">
        <v>164</v>
      </c>
      <c r="Z4" s="72"/>
      <c r="AA4" s="72" t="s">
        <v>165</v>
      </c>
      <c r="AB4" s="72"/>
      <c r="AC4" s="72" t="s">
        <v>166</v>
      </c>
      <c r="AE4" s="72" t="s">
        <v>160</v>
      </c>
      <c r="AF4" s="72" t="s">
        <v>161</v>
      </c>
      <c r="AG4" s="72" t="s">
        <v>162</v>
      </c>
      <c r="AH4" s="73" t="s">
        <v>163</v>
      </c>
      <c r="AI4" s="72" t="s">
        <v>164</v>
      </c>
      <c r="AJ4" s="72"/>
      <c r="AK4" s="72" t="s">
        <v>165</v>
      </c>
      <c r="AL4" s="72"/>
      <c r="AM4" s="72" t="s">
        <v>166</v>
      </c>
    </row>
    <row r="5" spans="1:39">
      <c r="A5" s="592" t="s">
        <v>167</v>
      </c>
      <c r="B5" s="590" t="s">
        <v>168</v>
      </c>
      <c r="C5" s="66" t="s">
        <v>176</v>
      </c>
      <c r="D5" s="589" t="s">
        <v>178</v>
      </c>
      <c r="E5" s="591" t="s">
        <v>179</v>
      </c>
      <c r="F5" s="586" t="s">
        <v>173</v>
      </c>
      <c r="G5" s="591" t="s">
        <v>174</v>
      </c>
      <c r="H5" s="586" t="s">
        <v>175</v>
      </c>
      <c r="I5" s="587">
        <v>2.286</v>
      </c>
      <c r="K5" s="585" t="s">
        <v>167</v>
      </c>
      <c r="L5" s="583" t="s">
        <v>168</v>
      </c>
      <c r="M5" s="67" t="s">
        <v>169</v>
      </c>
      <c r="N5" s="582" t="s">
        <v>171</v>
      </c>
      <c r="O5" s="584" t="s">
        <v>172</v>
      </c>
      <c r="P5" s="579" t="s">
        <v>173</v>
      </c>
      <c r="Q5" s="584" t="s">
        <v>174</v>
      </c>
      <c r="R5" s="579" t="s">
        <v>175</v>
      </c>
      <c r="S5" s="580">
        <v>2.6613000000000002</v>
      </c>
      <c r="U5" s="585" t="s">
        <v>167</v>
      </c>
      <c r="V5" s="583" t="s">
        <v>168</v>
      </c>
      <c r="W5" s="67" t="s">
        <v>169</v>
      </c>
      <c r="X5" s="582" t="s">
        <v>171</v>
      </c>
      <c r="Y5" s="584" t="s">
        <v>172</v>
      </c>
      <c r="Z5" s="579" t="s">
        <v>173</v>
      </c>
      <c r="AA5" s="584" t="s">
        <v>174</v>
      </c>
      <c r="AB5" s="579" t="s">
        <v>175</v>
      </c>
      <c r="AC5" s="580">
        <v>2.6613000000000002</v>
      </c>
      <c r="AE5" s="585" t="s">
        <v>167</v>
      </c>
      <c r="AF5" s="583" t="s">
        <v>168</v>
      </c>
      <c r="AG5" s="67" t="s">
        <v>169</v>
      </c>
      <c r="AH5" s="582" t="s">
        <v>171</v>
      </c>
      <c r="AI5" s="584" t="s">
        <v>172</v>
      </c>
      <c r="AJ5" s="579" t="s">
        <v>173</v>
      </c>
      <c r="AK5" s="584" t="s">
        <v>174</v>
      </c>
      <c r="AL5" s="579" t="s">
        <v>175</v>
      </c>
      <c r="AM5" s="580">
        <v>2.6613000000000002</v>
      </c>
    </row>
    <row r="6" spans="1:39">
      <c r="A6" s="592"/>
      <c r="B6" s="590"/>
      <c r="C6" s="66" t="s">
        <v>177</v>
      </c>
      <c r="D6" s="589"/>
      <c r="E6" s="591"/>
      <c r="F6" s="586"/>
      <c r="G6" s="591"/>
      <c r="H6" s="586"/>
      <c r="I6" s="587"/>
      <c r="K6" s="585"/>
      <c r="L6" s="583"/>
      <c r="M6" s="67" t="s">
        <v>170</v>
      </c>
      <c r="N6" s="582"/>
      <c r="O6" s="584"/>
      <c r="P6" s="579"/>
      <c r="Q6" s="584"/>
      <c r="R6" s="579"/>
      <c r="S6" s="580"/>
      <c r="U6" s="585"/>
      <c r="V6" s="583"/>
      <c r="W6" s="67" t="s">
        <v>170</v>
      </c>
      <c r="X6" s="582"/>
      <c r="Y6" s="584"/>
      <c r="Z6" s="579"/>
      <c r="AA6" s="584"/>
      <c r="AB6" s="579"/>
      <c r="AC6" s="580"/>
      <c r="AE6" s="585"/>
      <c r="AF6" s="583"/>
      <c r="AG6" s="67" t="s">
        <v>170</v>
      </c>
      <c r="AH6" s="582"/>
      <c r="AI6" s="584"/>
      <c r="AJ6" s="579"/>
      <c r="AK6" s="584"/>
      <c r="AL6" s="579"/>
      <c r="AM6" s="580"/>
    </row>
    <row r="7" spans="1:39">
      <c r="A7" s="592" t="s">
        <v>167</v>
      </c>
      <c r="B7" s="590" t="s">
        <v>180</v>
      </c>
      <c r="C7" s="66" t="s">
        <v>181</v>
      </c>
      <c r="D7" s="589" t="s">
        <v>183</v>
      </c>
      <c r="E7" s="591" t="s">
        <v>184</v>
      </c>
      <c r="F7" s="586" t="s">
        <v>173</v>
      </c>
      <c r="G7" s="591" t="s">
        <v>185</v>
      </c>
      <c r="H7" s="586" t="s">
        <v>175</v>
      </c>
      <c r="I7" s="587">
        <v>6.3647999999999998</v>
      </c>
      <c r="K7" s="585" t="s">
        <v>167</v>
      </c>
      <c r="L7" s="583" t="s">
        <v>168</v>
      </c>
      <c r="M7" s="67" t="s">
        <v>176</v>
      </c>
      <c r="N7" s="582" t="s">
        <v>178</v>
      </c>
      <c r="O7" s="584" t="s">
        <v>179</v>
      </c>
      <c r="P7" s="579" t="s">
        <v>173</v>
      </c>
      <c r="Q7" s="584" t="s">
        <v>174</v>
      </c>
      <c r="R7" s="579" t="s">
        <v>175</v>
      </c>
      <c r="S7" s="580">
        <v>2.286</v>
      </c>
      <c r="U7" s="585" t="s">
        <v>167</v>
      </c>
      <c r="V7" s="583" t="s">
        <v>168</v>
      </c>
      <c r="W7" s="67" t="s">
        <v>176</v>
      </c>
      <c r="X7" s="582" t="s">
        <v>178</v>
      </c>
      <c r="Y7" s="584" t="s">
        <v>179</v>
      </c>
      <c r="Z7" s="579" t="s">
        <v>173</v>
      </c>
      <c r="AA7" s="584" t="s">
        <v>174</v>
      </c>
      <c r="AB7" s="579" t="s">
        <v>175</v>
      </c>
      <c r="AC7" s="580">
        <v>2.286</v>
      </c>
      <c r="AE7" s="585" t="s">
        <v>167</v>
      </c>
      <c r="AF7" s="583" t="s">
        <v>168</v>
      </c>
      <c r="AG7" s="67" t="s">
        <v>176</v>
      </c>
      <c r="AH7" s="582" t="s">
        <v>178</v>
      </c>
      <c r="AI7" s="584" t="s">
        <v>179</v>
      </c>
      <c r="AJ7" s="579" t="s">
        <v>173</v>
      </c>
      <c r="AK7" s="584" t="s">
        <v>174</v>
      </c>
      <c r="AL7" s="579" t="s">
        <v>175</v>
      </c>
      <c r="AM7" s="580">
        <v>2.286</v>
      </c>
    </row>
    <row r="8" spans="1:39">
      <c r="A8" s="592"/>
      <c r="B8" s="590"/>
      <c r="C8" s="66" t="s">
        <v>182</v>
      </c>
      <c r="D8" s="589"/>
      <c r="E8" s="591"/>
      <c r="F8" s="586"/>
      <c r="G8" s="591"/>
      <c r="H8" s="586"/>
      <c r="I8" s="587"/>
      <c r="K8" s="585"/>
      <c r="L8" s="583"/>
      <c r="M8" s="67" t="s">
        <v>177</v>
      </c>
      <c r="N8" s="582"/>
      <c r="O8" s="584"/>
      <c r="P8" s="579"/>
      <c r="Q8" s="584"/>
      <c r="R8" s="579"/>
      <c r="S8" s="580"/>
      <c r="U8" s="585"/>
      <c r="V8" s="583"/>
      <c r="W8" s="67" t="s">
        <v>177</v>
      </c>
      <c r="X8" s="582"/>
      <c r="Y8" s="584"/>
      <c r="Z8" s="579"/>
      <c r="AA8" s="584"/>
      <c r="AB8" s="579"/>
      <c r="AC8" s="580"/>
      <c r="AE8" s="585"/>
      <c r="AF8" s="583"/>
      <c r="AG8" s="67" t="s">
        <v>177</v>
      </c>
      <c r="AH8" s="582"/>
      <c r="AI8" s="584"/>
      <c r="AJ8" s="579"/>
      <c r="AK8" s="584"/>
      <c r="AL8" s="579"/>
      <c r="AM8" s="580"/>
    </row>
    <row r="9" spans="1:39">
      <c r="A9" s="592" t="s">
        <v>167</v>
      </c>
      <c r="B9" s="590" t="s">
        <v>180</v>
      </c>
      <c r="C9" s="66" t="s">
        <v>186</v>
      </c>
      <c r="D9" s="589" t="s">
        <v>188</v>
      </c>
      <c r="E9" s="591" t="s">
        <v>189</v>
      </c>
      <c r="F9" s="586" t="s">
        <v>173</v>
      </c>
      <c r="G9" s="591" t="s">
        <v>190</v>
      </c>
      <c r="H9" s="586" t="s">
        <v>175</v>
      </c>
      <c r="I9" s="587">
        <v>0.13</v>
      </c>
      <c r="K9" s="585" t="s">
        <v>167</v>
      </c>
      <c r="L9" s="583" t="s">
        <v>180</v>
      </c>
      <c r="M9" s="67" t="s">
        <v>206</v>
      </c>
      <c r="N9" s="582" t="s">
        <v>208</v>
      </c>
      <c r="O9" s="584" t="s">
        <v>209</v>
      </c>
      <c r="P9" s="579" t="s">
        <v>173</v>
      </c>
      <c r="Q9" s="584" t="s">
        <v>185</v>
      </c>
      <c r="R9" s="579" t="s">
        <v>175</v>
      </c>
      <c r="S9" s="580">
        <v>7.4154</v>
      </c>
      <c r="U9" s="585" t="s">
        <v>167</v>
      </c>
      <c r="V9" s="583" t="s">
        <v>180</v>
      </c>
      <c r="W9" s="67" t="s">
        <v>225</v>
      </c>
      <c r="X9" s="582" t="s">
        <v>227</v>
      </c>
      <c r="Y9" s="584" t="s">
        <v>228</v>
      </c>
      <c r="Z9" s="579" t="s">
        <v>173</v>
      </c>
      <c r="AA9" s="584" t="s">
        <v>185</v>
      </c>
      <c r="AB9" s="579" t="s">
        <v>175</v>
      </c>
      <c r="AC9" s="580">
        <v>13.4946</v>
      </c>
      <c r="AE9" s="585" t="s">
        <v>167</v>
      </c>
      <c r="AF9" s="583" t="s">
        <v>180</v>
      </c>
      <c r="AG9" s="67" t="s">
        <v>242</v>
      </c>
      <c r="AH9" s="582" t="s">
        <v>244</v>
      </c>
      <c r="AI9" s="584" t="s">
        <v>245</v>
      </c>
      <c r="AJ9" s="579" t="s">
        <v>173</v>
      </c>
      <c r="AK9" s="584" t="s">
        <v>185</v>
      </c>
      <c r="AL9" s="579" t="s">
        <v>175</v>
      </c>
      <c r="AM9" s="580">
        <v>27.744</v>
      </c>
    </row>
    <row r="10" spans="1:39">
      <c r="A10" s="592"/>
      <c r="B10" s="590"/>
      <c r="C10" s="66" t="s">
        <v>187</v>
      </c>
      <c r="D10" s="589"/>
      <c r="E10" s="591"/>
      <c r="F10" s="586"/>
      <c r="G10" s="591"/>
      <c r="H10" s="586"/>
      <c r="I10" s="587"/>
      <c r="K10" s="585"/>
      <c r="L10" s="583"/>
      <c r="M10" s="67" t="s">
        <v>207</v>
      </c>
      <c r="N10" s="582"/>
      <c r="O10" s="584"/>
      <c r="P10" s="579"/>
      <c r="Q10" s="584"/>
      <c r="R10" s="579"/>
      <c r="S10" s="580"/>
      <c r="U10" s="585"/>
      <c r="V10" s="583"/>
      <c r="W10" s="67" t="s">
        <v>226</v>
      </c>
      <c r="X10" s="582"/>
      <c r="Y10" s="584"/>
      <c r="Z10" s="579"/>
      <c r="AA10" s="584"/>
      <c r="AB10" s="579"/>
      <c r="AC10" s="580"/>
      <c r="AE10" s="585"/>
      <c r="AF10" s="583"/>
      <c r="AG10" s="67" t="s">
        <v>243</v>
      </c>
      <c r="AH10" s="582"/>
      <c r="AI10" s="584"/>
      <c r="AJ10" s="579"/>
      <c r="AK10" s="584"/>
      <c r="AL10" s="579"/>
      <c r="AM10" s="580"/>
    </row>
    <row r="11" spans="1:39">
      <c r="A11" s="589"/>
      <c r="B11" s="590" t="s">
        <v>191</v>
      </c>
      <c r="C11" s="66" t="s">
        <v>192</v>
      </c>
      <c r="D11" s="589" t="s">
        <v>193</v>
      </c>
      <c r="E11" s="587">
        <v>4.9473000000000003</v>
      </c>
      <c r="F11" s="586" t="s">
        <v>173</v>
      </c>
      <c r="G11" s="591">
        <v>1.4999999999999999E-2</v>
      </c>
      <c r="H11" s="586" t="s">
        <v>175</v>
      </c>
      <c r="I11" s="587">
        <v>7.4209999999999998E-2</v>
      </c>
      <c r="K11" s="585" t="s">
        <v>167</v>
      </c>
      <c r="L11" s="583" t="s">
        <v>180</v>
      </c>
      <c r="M11" s="67" t="s">
        <v>210</v>
      </c>
      <c r="N11" s="582" t="s">
        <v>212</v>
      </c>
      <c r="O11" s="584" t="s">
        <v>213</v>
      </c>
      <c r="P11" s="579" t="s">
        <v>173</v>
      </c>
      <c r="Q11" s="584" t="s">
        <v>190</v>
      </c>
      <c r="R11" s="579" t="s">
        <v>175</v>
      </c>
      <c r="S11" s="580">
        <v>0.22</v>
      </c>
      <c r="U11" s="585" t="s">
        <v>167</v>
      </c>
      <c r="V11" s="583" t="s">
        <v>180</v>
      </c>
      <c r="W11" s="67" t="s">
        <v>229</v>
      </c>
      <c r="X11" s="582" t="s">
        <v>231</v>
      </c>
      <c r="Y11" s="584" t="s">
        <v>232</v>
      </c>
      <c r="Z11" s="579" t="s">
        <v>173</v>
      </c>
      <c r="AA11" s="584" t="s">
        <v>190</v>
      </c>
      <c r="AB11" s="579" t="s">
        <v>175</v>
      </c>
      <c r="AC11" s="580">
        <v>0.27</v>
      </c>
      <c r="AE11" s="585" t="s">
        <v>167</v>
      </c>
      <c r="AF11" s="583" t="s">
        <v>180</v>
      </c>
      <c r="AG11" s="67" t="s">
        <v>246</v>
      </c>
      <c r="AH11" s="582" t="s">
        <v>248</v>
      </c>
      <c r="AI11" s="584" t="s">
        <v>249</v>
      </c>
      <c r="AJ11" s="579" t="s">
        <v>173</v>
      </c>
      <c r="AK11" s="584" t="s">
        <v>190</v>
      </c>
      <c r="AL11" s="579" t="s">
        <v>175</v>
      </c>
      <c r="AM11" s="580">
        <v>0.35</v>
      </c>
    </row>
    <row r="12" spans="1:39">
      <c r="A12" s="589"/>
      <c r="B12" s="590"/>
      <c r="C12" s="66" t="s">
        <v>192</v>
      </c>
      <c r="D12" s="589"/>
      <c r="E12" s="587"/>
      <c r="F12" s="586"/>
      <c r="G12" s="591"/>
      <c r="H12" s="586"/>
      <c r="I12" s="587"/>
      <c r="K12" s="585"/>
      <c r="L12" s="583"/>
      <c r="M12" s="67" t="s">
        <v>211</v>
      </c>
      <c r="N12" s="582"/>
      <c r="O12" s="584"/>
      <c r="P12" s="579"/>
      <c r="Q12" s="584"/>
      <c r="R12" s="579"/>
      <c r="S12" s="580"/>
      <c r="U12" s="585"/>
      <c r="V12" s="583"/>
      <c r="W12" s="67" t="s">
        <v>230</v>
      </c>
      <c r="X12" s="582"/>
      <c r="Y12" s="584"/>
      <c r="Z12" s="579"/>
      <c r="AA12" s="584"/>
      <c r="AB12" s="579"/>
      <c r="AC12" s="580"/>
      <c r="AE12" s="585"/>
      <c r="AF12" s="583"/>
      <c r="AG12" s="67" t="s">
        <v>247</v>
      </c>
      <c r="AH12" s="582"/>
      <c r="AI12" s="584"/>
      <c r="AJ12" s="579"/>
      <c r="AK12" s="584"/>
      <c r="AL12" s="579"/>
      <c r="AM12" s="580"/>
    </row>
    <row r="13" spans="1:39">
      <c r="A13" s="588" t="s">
        <v>194</v>
      </c>
      <c r="B13" s="588"/>
      <c r="C13" s="588"/>
      <c r="D13" s="588"/>
      <c r="E13" s="78" t="s">
        <v>195</v>
      </c>
      <c r="F13" s="78">
        <v>11.516310000000001</v>
      </c>
      <c r="G13" s="79" t="s">
        <v>196</v>
      </c>
      <c r="H13" s="80"/>
      <c r="I13" s="80"/>
      <c r="K13" s="582"/>
      <c r="L13" s="583" t="s">
        <v>191</v>
      </c>
      <c r="M13" s="67" t="s">
        <v>192</v>
      </c>
      <c r="N13" s="582" t="s">
        <v>193</v>
      </c>
      <c r="O13" s="580">
        <v>4.9473000000000003</v>
      </c>
      <c r="P13" s="579" t="s">
        <v>173</v>
      </c>
      <c r="Q13" s="584">
        <v>1.4999999999999999E-2</v>
      </c>
      <c r="R13" s="579" t="s">
        <v>175</v>
      </c>
      <c r="S13" s="580">
        <v>7.4209999999999998E-2</v>
      </c>
      <c r="U13" s="582"/>
      <c r="V13" s="583" t="s">
        <v>191</v>
      </c>
      <c r="W13" s="67" t="s">
        <v>192</v>
      </c>
      <c r="X13" s="582" t="s">
        <v>193</v>
      </c>
      <c r="Y13" s="580">
        <v>4.9473000000000003</v>
      </c>
      <c r="Z13" s="579" t="s">
        <v>173</v>
      </c>
      <c r="AA13" s="584">
        <v>1.4999999999999999E-2</v>
      </c>
      <c r="AB13" s="579" t="s">
        <v>175</v>
      </c>
      <c r="AC13" s="580">
        <v>7.4209999999999998E-2</v>
      </c>
      <c r="AE13" s="582"/>
      <c r="AF13" s="583" t="s">
        <v>191</v>
      </c>
      <c r="AG13" s="67" t="s">
        <v>192</v>
      </c>
      <c r="AH13" s="582" t="s">
        <v>193</v>
      </c>
      <c r="AI13" s="580">
        <v>4.9473000000000003</v>
      </c>
      <c r="AJ13" s="579" t="s">
        <v>173</v>
      </c>
      <c r="AK13" s="584">
        <v>1.4999999999999999E-2</v>
      </c>
      <c r="AL13" s="579" t="s">
        <v>175</v>
      </c>
      <c r="AM13" s="580">
        <v>7.4209999999999998E-2</v>
      </c>
    </row>
    <row r="14" spans="1:39">
      <c r="K14" s="582"/>
      <c r="L14" s="583"/>
      <c r="M14" s="67" t="s">
        <v>192</v>
      </c>
      <c r="N14" s="582"/>
      <c r="O14" s="580"/>
      <c r="P14" s="579"/>
      <c r="Q14" s="584"/>
      <c r="R14" s="579"/>
      <c r="S14" s="580"/>
      <c r="U14" s="582"/>
      <c r="V14" s="583"/>
      <c r="W14" s="67" t="s">
        <v>192</v>
      </c>
      <c r="X14" s="582"/>
      <c r="Y14" s="580"/>
      <c r="Z14" s="579"/>
      <c r="AA14" s="584"/>
      <c r="AB14" s="579"/>
      <c r="AC14" s="580"/>
      <c r="AE14" s="582"/>
      <c r="AF14" s="583"/>
      <c r="AG14" s="67" t="s">
        <v>192</v>
      </c>
      <c r="AH14" s="582"/>
      <c r="AI14" s="580"/>
      <c r="AJ14" s="579"/>
      <c r="AK14" s="584"/>
      <c r="AL14" s="579"/>
      <c r="AM14" s="580"/>
    </row>
    <row r="15" spans="1:39">
      <c r="K15" s="581" t="s">
        <v>214</v>
      </c>
      <c r="L15" s="581"/>
      <c r="M15" s="581"/>
      <c r="N15" s="581"/>
      <c r="O15" s="78" t="s">
        <v>195</v>
      </c>
      <c r="P15" s="78">
        <v>12.65691</v>
      </c>
      <c r="Q15" s="79" t="s">
        <v>196</v>
      </c>
      <c r="U15" s="581" t="s">
        <v>233</v>
      </c>
      <c r="V15" s="581"/>
      <c r="W15" s="581"/>
      <c r="X15" s="581"/>
      <c r="Y15" s="78" t="s">
        <v>195</v>
      </c>
      <c r="Z15" s="78">
        <v>18.786110000000001</v>
      </c>
      <c r="AA15" s="79" t="s">
        <v>196</v>
      </c>
      <c r="AE15" s="581" t="s">
        <v>250</v>
      </c>
      <c r="AF15" s="581"/>
      <c r="AG15" s="581"/>
      <c r="AH15" s="581"/>
      <c r="AI15" s="78" t="s">
        <v>195</v>
      </c>
      <c r="AJ15" s="78">
        <v>33.11551</v>
      </c>
      <c r="AK15" s="79" t="s">
        <v>196</v>
      </c>
    </row>
    <row r="19" spans="1:39">
      <c r="A19" s="70" t="s">
        <v>197</v>
      </c>
      <c r="K19" s="70" t="s">
        <v>215</v>
      </c>
      <c r="U19" s="70" t="s">
        <v>234</v>
      </c>
      <c r="AE19" s="70" t="s">
        <v>251</v>
      </c>
    </row>
    <row r="20" spans="1:39" ht="15">
      <c r="A20" s="71" t="s">
        <v>198</v>
      </c>
      <c r="K20" s="71" t="s">
        <v>198</v>
      </c>
      <c r="U20" s="71" t="s">
        <v>198</v>
      </c>
      <c r="AE20" s="71" t="s">
        <v>198</v>
      </c>
    </row>
    <row r="21" spans="1:39">
      <c r="A21" s="72" t="s">
        <v>160</v>
      </c>
      <c r="B21" s="72" t="s">
        <v>161</v>
      </c>
      <c r="C21" s="72" t="s">
        <v>162</v>
      </c>
      <c r="D21" s="73" t="s">
        <v>163</v>
      </c>
      <c r="E21" s="72" t="s">
        <v>164</v>
      </c>
      <c r="F21" s="72"/>
      <c r="G21" s="72" t="s">
        <v>165</v>
      </c>
      <c r="H21" s="72"/>
      <c r="I21" s="72" t="s">
        <v>166</v>
      </c>
      <c r="K21" s="72" t="s">
        <v>160</v>
      </c>
      <c r="L21" s="72" t="s">
        <v>161</v>
      </c>
      <c r="M21" s="72" t="s">
        <v>162</v>
      </c>
      <c r="N21" s="73" t="s">
        <v>163</v>
      </c>
      <c r="O21" s="72" t="s">
        <v>164</v>
      </c>
      <c r="P21" s="72"/>
      <c r="Q21" s="72" t="s">
        <v>165</v>
      </c>
      <c r="R21" s="72"/>
      <c r="S21" s="72" t="s">
        <v>166</v>
      </c>
      <c r="U21" s="72" t="s">
        <v>160</v>
      </c>
      <c r="V21" s="72" t="s">
        <v>161</v>
      </c>
      <c r="W21" s="72" t="s">
        <v>162</v>
      </c>
      <c r="X21" s="73" t="s">
        <v>163</v>
      </c>
      <c r="Y21" s="72" t="s">
        <v>164</v>
      </c>
      <c r="Z21" s="72"/>
      <c r="AA21" s="72" t="s">
        <v>165</v>
      </c>
      <c r="AB21" s="72"/>
      <c r="AC21" s="72" t="s">
        <v>166</v>
      </c>
      <c r="AE21" s="72" t="s">
        <v>160</v>
      </c>
      <c r="AF21" s="72" t="s">
        <v>161</v>
      </c>
      <c r="AG21" s="72" t="s">
        <v>162</v>
      </c>
      <c r="AH21" s="73" t="s">
        <v>163</v>
      </c>
      <c r="AI21" s="72" t="s">
        <v>164</v>
      </c>
      <c r="AJ21" s="72"/>
      <c r="AK21" s="72" t="s">
        <v>165</v>
      </c>
      <c r="AL21" s="72"/>
      <c r="AM21" s="72" t="s">
        <v>166</v>
      </c>
    </row>
    <row r="22" spans="1:39" ht="15">
      <c r="A22" s="585" t="s">
        <v>167</v>
      </c>
      <c r="B22" s="583" t="s">
        <v>168</v>
      </c>
      <c r="C22" s="67" t="s">
        <v>169</v>
      </c>
      <c r="D22" s="582" t="s">
        <v>171</v>
      </c>
      <c r="E22" s="584" t="s">
        <v>172</v>
      </c>
      <c r="F22" s="579" t="s">
        <v>173</v>
      </c>
      <c r="G22" s="584" t="s">
        <v>199</v>
      </c>
      <c r="H22" s="579" t="s">
        <v>175</v>
      </c>
      <c r="I22" s="580">
        <v>3.5484</v>
      </c>
      <c r="K22" s="74" t="s">
        <v>167</v>
      </c>
      <c r="L22" s="75" t="s">
        <v>168</v>
      </c>
      <c r="M22" s="67" t="s">
        <v>169</v>
      </c>
      <c r="N22" s="76" t="s">
        <v>171</v>
      </c>
      <c r="O22" s="68" t="s">
        <v>172</v>
      </c>
      <c r="P22" s="77" t="s">
        <v>173</v>
      </c>
      <c r="Q22" s="68" t="s">
        <v>199</v>
      </c>
      <c r="R22" s="77" t="s">
        <v>175</v>
      </c>
      <c r="S22" s="69">
        <v>3.5484</v>
      </c>
      <c r="U22" s="585" t="s">
        <v>167</v>
      </c>
      <c r="V22" s="583" t="s">
        <v>168</v>
      </c>
      <c r="W22" s="67" t="s">
        <v>169</v>
      </c>
      <c r="X22" s="582" t="s">
        <v>171</v>
      </c>
      <c r="Y22" s="584" t="s">
        <v>172</v>
      </c>
      <c r="Z22" s="579" t="s">
        <v>173</v>
      </c>
      <c r="AA22" s="584" t="s">
        <v>199</v>
      </c>
      <c r="AB22" s="579" t="s">
        <v>175</v>
      </c>
      <c r="AC22" s="580">
        <v>3.5484</v>
      </c>
      <c r="AE22" s="585" t="s">
        <v>167</v>
      </c>
      <c r="AF22" s="583" t="s">
        <v>168</v>
      </c>
      <c r="AG22" s="67" t="s">
        <v>169</v>
      </c>
      <c r="AH22" s="582" t="s">
        <v>171</v>
      </c>
      <c r="AI22" s="584" t="s">
        <v>172</v>
      </c>
      <c r="AJ22" s="579" t="s">
        <v>173</v>
      </c>
      <c r="AK22" s="584" t="s">
        <v>199</v>
      </c>
      <c r="AL22" s="579" t="s">
        <v>175</v>
      </c>
      <c r="AM22" s="580">
        <v>3.5484</v>
      </c>
    </row>
    <row r="23" spans="1:39" ht="15">
      <c r="A23" s="585"/>
      <c r="B23" s="583"/>
      <c r="C23" s="67" t="s">
        <v>170</v>
      </c>
      <c r="D23" s="582"/>
      <c r="E23" s="584"/>
      <c r="F23" s="579"/>
      <c r="G23" s="584"/>
      <c r="H23" s="579"/>
      <c r="I23" s="580"/>
      <c r="K23" s="74"/>
      <c r="L23" s="75"/>
      <c r="M23" s="67" t="s">
        <v>170</v>
      </c>
      <c r="N23" s="76"/>
      <c r="O23" s="68"/>
      <c r="P23" s="77"/>
      <c r="Q23" s="68"/>
      <c r="R23" s="77"/>
      <c r="S23" s="69"/>
      <c r="U23" s="585"/>
      <c r="V23" s="583"/>
      <c r="W23" s="67" t="s">
        <v>170</v>
      </c>
      <c r="X23" s="582"/>
      <c r="Y23" s="584"/>
      <c r="Z23" s="579"/>
      <c r="AA23" s="584"/>
      <c r="AB23" s="579"/>
      <c r="AC23" s="580"/>
      <c r="AE23" s="585"/>
      <c r="AF23" s="583"/>
      <c r="AG23" s="67" t="s">
        <v>170</v>
      </c>
      <c r="AH23" s="582"/>
      <c r="AI23" s="584"/>
      <c r="AJ23" s="579"/>
      <c r="AK23" s="584"/>
      <c r="AL23" s="579"/>
      <c r="AM23" s="580"/>
    </row>
    <row r="24" spans="1:39" ht="15">
      <c r="A24" s="585" t="s">
        <v>167</v>
      </c>
      <c r="B24" s="583" t="s">
        <v>168</v>
      </c>
      <c r="C24" s="67" t="s">
        <v>176</v>
      </c>
      <c r="D24" s="582" t="s">
        <v>178</v>
      </c>
      <c r="E24" s="584" t="s">
        <v>179</v>
      </c>
      <c r="F24" s="579" t="s">
        <v>173</v>
      </c>
      <c r="G24" s="584" t="s">
        <v>199</v>
      </c>
      <c r="H24" s="579" t="s">
        <v>175</v>
      </c>
      <c r="I24" s="580">
        <v>3.048</v>
      </c>
      <c r="K24" s="74" t="s">
        <v>167</v>
      </c>
      <c r="L24" s="75" t="s">
        <v>168</v>
      </c>
      <c r="M24" s="67" t="s">
        <v>176</v>
      </c>
      <c r="N24" s="76" t="s">
        <v>178</v>
      </c>
      <c r="O24" s="68" t="s">
        <v>179</v>
      </c>
      <c r="P24" s="77" t="s">
        <v>173</v>
      </c>
      <c r="Q24" s="68" t="s">
        <v>199</v>
      </c>
      <c r="R24" s="77" t="s">
        <v>175</v>
      </c>
      <c r="S24" s="69">
        <v>3.048</v>
      </c>
      <c r="U24" s="585" t="s">
        <v>167</v>
      </c>
      <c r="V24" s="583" t="s">
        <v>168</v>
      </c>
      <c r="W24" s="67" t="s">
        <v>176</v>
      </c>
      <c r="X24" s="582" t="s">
        <v>178</v>
      </c>
      <c r="Y24" s="584" t="s">
        <v>179</v>
      </c>
      <c r="Z24" s="579" t="s">
        <v>173</v>
      </c>
      <c r="AA24" s="584" t="s">
        <v>199</v>
      </c>
      <c r="AB24" s="579" t="s">
        <v>175</v>
      </c>
      <c r="AC24" s="580">
        <v>3.048</v>
      </c>
      <c r="AE24" s="585" t="s">
        <v>167</v>
      </c>
      <c r="AF24" s="583" t="s">
        <v>168</v>
      </c>
      <c r="AG24" s="67" t="s">
        <v>176</v>
      </c>
      <c r="AH24" s="582" t="s">
        <v>178</v>
      </c>
      <c r="AI24" s="584" t="s">
        <v>179</v>
      </c>
      <c r="AJ24" s="579" t="s">
        <v>173</v>
      </c>
      <c r="AK24" s="584" t="s">
        <v>199</v>
      </c>
      <c r="AL24" s="579" t="s">
        <v>175</v>
      </c>
      <c r="AM24" s="580">
        <v>3.048</v>
      </c>
    </row>
    <row r="25" spans="1:39" ht="15">
      <c r="A25" s="585"/>
      <c r="B25" s="583"/>
      <c r="C25" s="67" t="s">
        <v>177</v>
      </c>
      <c r="D25" s="582"/>
      <c r="E25" s="584"/>
      <c r="F25" s="579"/>
      <c r="G25" s="584"/>
      <c r="H25" s="579"/>
      <c r="I25" s="580"/>
      <c r="K25" s="74"/>
      <c r="L25" s="75"/>
      <c r="M25" s="67" t="s">
        <v>177</v>
      </c>
      <c r="N25" s="76"/>
      <c r="O25" s="68"/>
      <c r="P25" s="77"/>
      <c r="Q25" s="68"/>
      <c r="R25" s="77"/>
      <c r="S25" s="69"/>
      <c r="U25" s="585"/>
      <c r="V25" s="583"/>
      <c r="W25" s="67" t="s">
        <v>177</v>
      </c>
      <c r="X25" s="582"/>
      <c r="Y25" s="584"/>
      <c r="Z25" s="579"/>
      <c r="AA25" s="584"/>
      <c r="AB25" s="579"/>
      <c r="AC25" s="580"/>
      <c r="AE25" s="585"/>
      <c r="AF25" s="583"/>
      <c r="AG25" s="67" t="s">
        <v>177</v>
      </c>
      <c r="AH25" s="582"/>
      <c r="AI25" s="584"/>
      <c r="AJ25" s="579"/>
      <c r="AK25" s="584"/>
      <c r="AL25" s="579"/>
      <c r="AM25" s="580"/>
    </row>
    <row r="26" spans="1:39" ht="15">
      <c r="A26" s="585" t="s">
        <v>167</v>
      </c>
      <c r="B26" s="583" t="s">
        <v>180</v>
      </c>
      <c r="C26" s="67" t="s">
        <v>200</v>
      </c>
      <c r="D26" s="582" t="s">
        <v>202</v>
      </c>
      <c r="E26" s="584" t="s">
        <v>203</v>
      </c>
      <c r="F26" s="579" t="s">
        <v>173</v>
      </c>
      <c r="G26" s="584" t="s">
        <v>185</v>
      </c>
      <c r="H26" s="579" t="s">
        <v>175</v>
      </c>
      <c r="I26" s="580">
        <v>11.107799999999999</v>
      </c>
      <c r="K26" s="74" t="s">
        <v>167</v>
      </c>
      <c r="L26" s="75" t="s">
        <v>180</v>
      </c>
      <c r="M26" s="67" t="s">
        <v>216</v>
      </c>
      <c r="N26" s="76" t="s">
        <v>218</v>
      </c>
      <c r="O26" s="68" t="s">
        <v>219</v>
      </c>
      <c r="P26" s="77" t="s">
        <v>173</v>
      </c>
      <c r="Q26" s="68" t="s">
        <v>185</v>
      </c>
      <c r="R26" s="77" t="s">
        <v>175</v>
      </c>
      <c r="S26" s="69">
        <v>12.9948</v>
      </c>
      <c r="U26" s="585" t="s">
        <v>167</v>
      </c>
      <c r="V26" s="583" t="s">
        <v>180</v>
      </c>
      <c r="W26" s="67" t="s">
        <v>235</v>
      </c>
      <c r="X26" s="582" t="s">
        <v>237</v>
      </c>
      <c r="Y26" s="584" t="s">
        <v>238</v>
      </c>
      <c r="Z26" s="579" t="s">
        <v>173</v>
      </c>
      <c r="AA26" s="584" t="s">
        <v>185</v>
      </c>
      <c r="AB26" s="579" t="s">
        <v>175</v>
      </c>
      <c r="AC26" s="580">
        <v>22.052399999999999</v>
      </c>
      <c r="AE26" s="585" t="s">
        <v>167</v>
      </c>
      <c r="AF26" s="583" t="s">
        <v>180</v>
      </c>
      <c r="AG26" s="67" t="s">
        <v>252</v>
      </c>
      <c r="AH26" s="582" t="s">
        <v>254</v>
      </c>
      <c r="AI26" s="584" t="s">
        <v>255</v>
      </c>
      <c r="AJ26" s="579" t="s">
        <v>173</v>
      </c>
      <c r="AK26" s="584" t="s">
        <v>185</v>
      </c>
      <c r="AL26" s="579" t="s">
        <v>175</v>
      </c>
      <c r="AM26" s="580">
        <v>35.934600000000003</v>
      </c>
    </row>
    <row r="27" spans="1:39" ht="15">
      <c r="A27" s="585"/>
      <c r="B27" s="583"/>
      <c r="C27" s="67" t="s">
        <v>201</v>
      </c>
      <c r="D27" s="582"/>
      <c r="E27" s="584"/>
      <c r="F27" s="579"/>
      <c r="G27" s="584"/>
      <c r="H27" s="579"/>
      <c r="I27" s="580"/>
      <c r="K27" s="74"/>
      <c r="L27" s="75"/>
      <c r="M27" s="67" t="s">
        <v>217</v>
      </c>
      <c r="N27" s="76"/>
      <c r="O27" s="68"/>
      <c r="P27" s="77"/>
      <c r="Q27" s="68"/>
      <c r="R27" s="77"/>
      <c r="S27" s="69"/>
      <c r="U27" s="585"/>
      <c r="V27" s="583"/>
      <c r="W27" s="67" t="s">
        <v>236</v>
      </c>
      <c r="X27" s="582"/>
      <c r="Y27" s="584"/>
      <c r="Z27" s="579"/>
      <c r="AA27" s="584"/>
      <c r="AB27" s="579"/>
      <c r="AC27" s="580"/>
      <c r="AE27" s="585"/>
      <c r="AF27" s="583"/>
      <c r="AG27" s="67" t="s">
        <v>253</v>
      </c>
      <c r="AH27" s="582"/>
      <c r="AI27" s="584"/>
      <c r="AJ27" s="579"/>
      <c r="AK27" s="584"/>
      <c r="AL27" s="579"/>
      <c r="AM27" s="580"/>
    </row>
    <row r="28" spans="1:39" ht="15">
      <c r="A28" s="585" t="s">
        <v>167</v>
      </c>
      <c r="B28" s="583" t="s">
        <v>180</v>
      </c>
      <c r="C28" s="67" t="s">
        <v>186</v>
      </c>
      <c r="D28" s="582" t="s">
        <v>188</v>
      </c>
      <c r="E28" s="584" t="s">
        <v>189</v>
      </c>
      <c r="F28" s="579" t="s">
        <v>173</v>
      </c>
      <c r="G28" s="584" t="s">
        <v>190</v>
      </c>
      <c r="H28" s="579" t="s">
        <v>175</v>
      </c>
      <c r="I28" s="580">
        <v>0.13</v>
      </c>
      <c r="K28" s="74" t="s">
        <v>167</v>
      </c>
      <c r="L28" s="75" t="s">
        <v>180</v>
      </c>
      <c r="M28" s="67" t="s">
        <v>210</v>
      </c>
      <c r="N28" s="76" t="s">
        <v>212</v>
      </c>
      <c r="O28" s="68" t="s">
        <v>213</v>
      </c>
      <c r="P28" s="77" t="s">
        <v>173</v>
      </c>
      <c r="Q28" s="68" t="s">
        <v>190</v>
      </c>
      <c r="R28" s="77" t="s">
        <v>175</v>
      </c>
      <c r="S28" s="69">
        <v>0.22</v>
      </c>
      <c r="U28" s="585" t="s">
        <v>167</v>
      </c>
      <c r="V28" s="583" t="s">
        <v>180</v>
      </c>
      <c r="W28" s="67" t="s">
        <v>229</v>
      </c>
      <c r="X28" s="582" t="s">
        <v>231</v>
      </c>
      <c r="Y28" s="584" t="s">
        <v>232</v>
      </c>
      <c r="Z28" s="579" t="s">
        <v>173</v>
      </c>
      <c r="AA28" s="584" t="s">
        <v>190</v>
      </c>
      <c r="AB28" s="579" t="s">
        <v>175</v>
      </c>
      <c r="AC28" s="580">
        <v>0.27</v>
      </c>
      <c r="AE28" s="585" t="s">
        <v>167</v>
      </c>
      <c r="AF28" s="583" t="s">
        <v>180</v>
      </c>
      <c r="AG28" s="67" t="s">
        <v>246</v>
      </c>
      <c r="AH28" s="582" t="s">
        <v>248</v>
      </c>
      <c r="AI28" s="584" t="s">
        <v>249</v>
      </c>
      <c r="AJ28" s="579" t="s">
        <v>173</v>
      </c>
      <c r="AK28" s="584" t="s">
        <v>190</v>
      </c>
      <c r="AL28" s="579" t="s">
        <v>175</v>
      </c>
      <c r="AM28" s="580">
        <v>0.35</v>
      </c>
    </row>
    <row r="29" spans="1:39" ht="15">
      <c r="A29" s="585"/>
      <c r="B29" s="583"/>
      <c r="C29" s="67" t="s">
        <v>187</v>
      </c>
      <c r="D29" s="582"/>
      <c r="E29" s="584"/>
      <c r="F29" s="579"/>
      <c r="G29" s="584"/>
      <c r="H29" s="579"/>
      <c r="I29" s="580"/>
      <c r="K29" s="74"/>
      <c r="L29" s="75"/>
      <c r="M29" s="67" t="s">
        <v>211</v>
      </c>
      <c r="N29" s="76"/>
      <c r="O29" s="68"/>
      <c r="P29" s="77"/>
      <c r="Q29" s="68"/>
      <c r="R29" s="77"/>
      <c r="S29" s="69"/>
      <c r="U29" s="585"/>
      <c r="V29" s="583"/>
      <c r="W29" s="67" t="s">
        <v>230</v>
      </c>
      <c r="X29" s="582"/>
      <c r="Y29" s="584"/>
      <c r="Z29" s="579"/>
      <c r="AA29" s="584"/>
      <c r="AB29" s="579"/>
      <c r="AC29" s="580"/>
      <c r="AE29" s="585"/>
      <c r="AF29" s="583"/>
      <c r="AG29" s="67" t="s">
        <v>247</v>
      </c>
      <c r="AH29" s="582"/>
      <c r="AI29" s="584"/>
      <c r="AJ29" s="579"/>
      <c r="AK29" s="584"/>
      <c r="AL29" s="579"/>
      <c r="AM29" s="580"/>
    </row>
    <row r="30" spans="1:39">
      <c r="A30" s="582"/>
      <c r="B30" s="583" t="s">
        <v>191</v>
      </c>
      <c r="C30" s="67" t="s">
        <v>192</v>
      </c>
      <c r="D30" s="582" t="s">
        <v>193</v>
      </c>
      <c r="E30" s="580">
        <v>6.5964</v>
      </c>
      <c r="F30" s="579" t="s">
        <v>173</v>
      </c>
      <c r="G30" s="584">
        <v>1.4999999999999999E-2</v>
      </c>
      <c r="H30" s="579" t="s">
        <v>175</v>
      </c>
      <c r="I30" s="580">
        <v>9.8949999999999996E-2</v>
      </c>
      <c r="K30" s="76"/>
      <c r="L30" s="75" t="s">
        <v>191</v>
      </c>
      <c r="M30" s="67" t="s">
        <v>192</v>
      </c>
      <c r="N30" s="76" t="s">
        <v>193</v>
      </c>
      <c r="O30" s="69">
        <v>6.5964</v>
      </c>
      <c r="P30" s="77" t="s">
        <v>173</v>
      </c>
      <c r="Q30" s="68">
        <v>1.4999999999999999E-2</v>
      </c>
      <c r="R30" s="77" t="s">
        <v>175</v>
      </c>
      <c r="S30" s="69">
        <v>9.8949999999999996E-2</v>
      </c>
      <c r="U30" s="582"/>
      <c r="V30" s="583" t="s">
        <v>191</v>
      </c>
      <c r="W30" s="67" t="s">
        <v>192</v>
      </c>
      <c r="X30" s="582" t="s">
        <v>193</v>
      </c>
      <c r="Y30" s="580">
        <v>6.5964</v>
      </c>
      <c r="Z30" s="579" t="s">
        <v>173</v>
      </c>
      <c r="AA30" s="584">
        <v>1.4999999999999999E-2</v>
      </c>
      <c r="AB30" s="579" t="s">
        <v>175</v>
      </c>
      <c r="AC30" s="580">
        <v>9.8949999999999996E-2</v>
      </c>
      <c r="AE30" s="582"/>
      <c r="AF30" s="583" t="s">
        <v>191</v>
      </c>
      <c r="AG30" s="67" t="s">
        <v>192</v>
      </c>
      <c r="AH30" s="582" t="s">
        <v>193</v>
      </c>
      <c r="AI30" s="580">
        <v>6.5964</v>
      </c>
      <c r="AJ30" s="579" t="s">
        <v>173</v>
      </c>
      <c r="AK30" s="584">
        <v>1.4999999999999999E-2</v>
      </c>
      <c r="AL30" s="579" t="s">
        <v>175</v>
      </c>
      <c r="AM30" s="580">
        <v>9.8949999999999996E-2</v>
      </c>
    </row>
    <row r="31" spans="1:39">
      <c r="A31" s="582"/>
      <c r="B31" s="583"/>
      <c r="C31" s="67" t="s">
        <v>192</v>
      </c>
      <c r="D31" s="582"/>
      <c r="E31" s="580"/>
      <c r="F31" s="579"/>
      <c r="G31" s="584"/>
      <c r="H31" s="579"/>
      <c r="I31" s="580"/>
      <c r="K31" s="76"/>
      <c r="L31" s="75"/>
      <c r="M31" s="67" t="s">
        <v>192</v>
      </c>
      <c r="N31" s="76"/>
      <c r="O31" s="69"/>
      <c r="P31" s="77"/>
      <c r="Q31" s="68"/>
      <c r="R31" s="77"/>
      <c r="S31" s="69"/>
      <c r="U31" s="582"/>
      <c r="V31" s="583"/>
      <c r="W31" s="67" t="s">
        <v>192</v>
      </c>
      <c r="X31" s="582"/>
      <c r="Y31" s="580"/>
      <c r="Z31" s="579"/>
      <c r="AA31" s="584"/>
      <c r="AB31" s="579"/>
      <c r="AC31" s="580"/>
      <c r="AE31" s="582"/>
      <c r="AF31" s="583"/>
      <c r="AG31" s="67" t="s">
        <v>192</v>
      </c>
      <c r="AH31" s="582"/>
      <c r="AI31" s="580"/>
      <c r="AJ31" s="579"/>
      <c r="AK31" s="584"/>
      <c r="AL31" s="579"/>
      <c r="AM31" s="580"/>
    </row>
    <row r="32" spans="1:39">
      <c r="A32" s="581" t="s">
        <v>204</v>
      </c>
      <c r="B32" s="581"/>
      <c r="C32" s="581"/>
      <c r="D32" s="581"/>
      <c r="E32" s="78" t="s">
        <v>195</v>
      </c>
      <c r="F32" s="78">
        <v>17.933150000000001</v>
      </c>
      <c r="G32" s="79" t="s">
        <v>196</v>
      </c>
      <c r="K32" s="581" t="s">
        <v>220</v>
      </c>
      <c r="L32" s="581"/>
      <c r="M32" s="581"/>
      <c r="N32" s="581"/>
      <c r="O32" s="78" t="s">
        <v>195</v>
      </c>
      <c r="P32" s="78">
        <v>19.910150000000002</v>
      </c>
      <c r="Q32" s="79" t="s">
        <v>196</v>
      </c>
      <c r="U32" s="581" t="s">
        <v>239</v>
      </c>
      <c r="V32" s="581"/>
      <c r="W32" s="581"/>
      <c r="X32" s="581"/>
      <c r="Y32" s="78" t="s">
        <v>195</v>
      </c>
      <c r="Z32" s="78">
        <v>29.017749999999999</v>
      </c>
      <c r="AA32" s="79" t="s">
        <v>196</v>
      </c>
      <c r="AE32" s="581" t="s">
        <v>256</v>
      </c>
      <c r="AF32" s="581"/>
      <c r="AG32" s="581"/>
      <c r="AH32" s="581"/>
      <c r="AI32" s="78" t="s">
        <v>195</v>
      </c>
      <c r="AJ32" s="78">
        <v>42.979950000000002</v>
      </c>
      <c r="AK32" s="79" t="s">
        <v>196</v>
      </c>
    </row>
  </sheetData>
  <mergeCells count="288">
    <mergeCell ref="H3:H4"/>
    <mergeCell ref="I3:I4"/>
    <mergeCell ref="A5:A6"/>
    <mergeCell ref="B5:B6"/>
    <mergeCell ref="D5:D6"/>
    <mergeCell ref="E5:E6"/>
    <mergeCell ref="F5:F6"/>
    <mergeCell ref="G5:G6"/>
    <mergeCell ref="H5:H6"/>
    <mergeCell ref="I5:I6"/>
    <mergeCell ref="A3:A4"/>
    <mergeCell ref="B3:B4"/>
    <mergeCell ref="D3:D4"/>
    <mergeCell ref="E3:E4"/>
    <mergeCell ref="F3:F4"/>
    <mergeCell ref="G3:G4"/>
    <mergeCell ref="H7:H8"/>
    <mergeCell ref="I7:I8"/>
    <mergeCell ref="A9:A10"/>
    <mergeCell ref="B9:B10"/>
    <mergeCell ref="D9:D10"/>
    <mergeCell ref="E9:E10"/>
    <mergeCell ref="F9:F10"/>
    <mergeCell ref="G9:G10"/>
    <mergeCell ref="H9:H10"/>
    <mergeCell ref="I9:I10"/>
    <mergeCell ref="A7:A8"/>
    <mergeCell ref="B7:B8"/>
    <mergeCell ref="D7:D8"/>
    <mergeCell ref="E7:E8"/>
    <mergeCell ref="F7:F8"/>
    <mergeCell ref="G7:G8"/>
    <mergeCell ref="H11:H12"/>
    <mergeCell ref="I11:I12"/>
    <mergeCell ref="A13:D13"/>
    <mergeCell ref="A22:A23"/>
    <mergeCell ref="B22:B23"/>
    <mergeCell ref="D22:D23"/>
    <mergeCell ref="A30:A31"/>
    <mergeCell ref="B30:B31"/>
    <mergeCell ref="D30:D31"/>
    <mergeCell ref="A11:A12"/>
    <mergeCell ref="B11:B12"/>
    <mergeCell ref="D11:D12"/>
    <mergeCell ref="E11:E12"/>
    <mergeCell ref="F11:F12"/>
    <mergeCell ref="G11:G12"/>
    <mergeCell ref="E22:E23"/>
    <mergeCell ref="F22:F23"/>
    <mergeCell ref="G22:G23"/>
    <mergeCell ref="H22:H23"/>
    <mergeCell ref="I22:I23"/>
    <mergeCell ref="A24:A25"/>
    <mergeCell ref="B24:B25"/>
    <mergeCell ref="D24:D25"/>
    <mergeCell ref="E24:E25"/>
    <mergeCell ref="F24:F25"/>
    <mergeCell ref="G24:G25"/>
    <mergeCell ref="H24:H25"/>
    <mergeCell ref="I24:I25"/>
    <mergeCell ref="A26:A27"/>
    <mergeCell ref="B26:B27"/>
    <mergeCell ref="D26:D27"/>
    <mergeCell ref="E26:E27"/>
    <mergeCell ref="F26:F27"/>
    <mergeCell ref="G26:G27"/>
    <mergeCell ref="H26:H27"/>
    <mergeCell ref="E30:E31"/>
    <mergeCell ref="F30:F31"/>
    <mergeCell ref="G30:G31"/>
    <mergeCell ref="H30:H31"/>
    <mergeCell ref="I30:I31"/>
    <mergeCell ref="A32:D32"/>
    <mergeCell ref="I26:I27"/>
    <mergeCell ref="A28:A29"/>
    <mergeCell ref="B28:B29"/>
    <mergeCell ref="D28:D29"/>
    <mergeCell ref="E28:E29"/>
    <mergeCell ref="F28:F29"/>
    <mergeCell ref="G28:G29"/>
    <mergeCell ref="H28:H29"/>
    <mergeCell ref="I28:I29"/>
    <mergeCell ref="R5:R6"/>
    <mergeCell ref="S5:S6"/>
    <mergeCell ref="K7:K8"/>
    <mergeCell ref="L7:L8"/>
    <mergeCell ref="N7:N8"/>
    <mergeCell ref="O7:O8"/>
    <mergeCell ref="P7:P8"/>
    <mergeCell ref="Q7:Q8"/>
    <mergeCell ref="R7:R8"/>
    <mergeCell ref="S7:S8"/>
    <mergeCell ref="K5:K6"/>
    <mergeCell ref="L5:L6"/>
    <mergeCell ref="N5:N6"/>
    <mergeCell ref="O5:O6"/>
    <mergeCell ref="P5:P6"/>
    <mergeCell ref="Q5:Q6"/>
    <mergeCell ref="R9:R10"/>
    <mergeCell ref="S9:S10"/>
    <mergeCell ref="K11:K12"/>
    <mergeCell ref="L11:L12"/>
    <mergeCell ref="N11:N12"/>
    <mergeCell ref="O11:O12"/>
    <mergeCell ref="P11:P12"/>
    <mergeCell ref="Q11:Q12"/>
    <mergeCell ref="R11:R12"/>
    <mergeCell ref="S11:S12"/>
    <mergeCell ref="K9:K10"/>
    <mergeCell ref="L9:L10"/>
    <mergeCell ref="N9:N10"/>
    <mergeCell ref="O9:O10"/>
    <mergeCell ref="P9:P10"/>
    <mergeCell ref="Q9:Q10"/>
    <mergeCell ref="K32:N32"/>
    <mergeCell ref="R13:R14"/>
    <mergeCell ref="S13:S14"/>
    <mergeCell ref="K15:N15"/>
    <mergeCell ref="K13:K14"/>
    <mergeCell ref="L13:L14"/>
    <mergeCell ref="N13:N14"/>
    <mergeCell ref="O13:O14"/>
    <mergeCell ref="P13:P14"/>
    <mergeCell ref="Q13:Q14"/>
    <mergeCell ref="AB5:AB6"/>
    <mergeCell ref="AC5:AC6"/>
    <mergeCell ref="U7:U8"/>
    <mergeCell ref="V7:V8"/>
    <mergeCell ref="X7:X8"/>
    <mergeCell ref="Y7:Y8"/>
    <mergeCell ref="Z7:Z8"/>
    <mergeCell ref="AA7:AA8"/>
    <mergeCell ref="AB7:AB8"/>
    <mergeCell ref="AC7:AC8"/>
    <mergeCell ref="U5:U6"/>
    <mergeCell ref="V5:V6"/>
    <mergeCell ref="X5:X6"/>
    <mergeCell ref="Y5:Y6"/>
    <mergeCell ref="Z5:Z6"/>
    <mergeCell ref="AA5:AA6"/>
    <mergeCell ref="AB9:AB10"/>
    <mergeCell ref="AC9:AC10"/>
    <mergeCell ref="U11:U12"/>
    <mergeCell ref="V11:V12"/>
    <mergeCell ref="X11:X12"/>
    <mergeCell ref="Y11:Y12"/>
    <mergeCell ref="Z11:Z12"/>
    <mergeCell ref="AA11:AA12"/>
    <mergeCell ref="AB11:AB12"/>
    <mergeCell ref="AC11:AC12"/>
    <mergeCell ref="U9:U10"/>
    <mergeCell ref="V9:V10"/>
    <mergeCell ref="X9:X10"/>
    <mergeCell ref="Y9:Y10"/>
    <mergeCell ref="Z9:Z10"/>
    <mergeCell ref="AA9:AA10"/>
    <mergeCell ref="AB13:AB14"/>
    <mergeCell ref="AC13:AC14"/>
    <mergeCell ref="U15:X15"/>
    <mergeCell ref="U22:U23"/>
    <mergeCell ref="V22:V23"/>
    <mergeCell ref="X22:X23"/>
    <mergeCell ref="Y22:Y23"/>
    <mergeCell ref="Z22:Z23"/>
    <mergeCell ref="AA22:AA23"/>
    <mergeCell ref="AB22:AB23"/>
    <mergeCell ref="U13:U14"/>
    <mergeCell ref="V13:V14"/>
    <mergeCell ref="X13:X14"/>
    <mergeCell ref="Y13:Y14"/>
    <mergeCell ref="Z13:Z14"/>
    <mergeCell ref="AA13:AA14"/>
    <mergeCell ref="AB28:AB29"/>
    <mergeCell ref="AC28:AC29"/>
    <mergeCell ref="U26:U27"/>
    <mergeCell ref="V26:V27"/>
    <mergeCell ref="X26:X27"/>
    <mergeCell ref="Y26:Y27"/>
    <mergeCell ref="Z26:Z27"/>
    <mergeCell ref="AA26:AA27"/>
    <mergeCell ref="AC22:AC23"/>
    <mergeCell ref="U24:U25"/>
    <mergeCell ref="V24:V25"/>
    <mergeCell ref="X24:X25"/>
    <mergeCell ref="Y24:Y25"/>
    <mergeCell ref="Z24:Z25"/>
    <mergeCell ref="AA24:AA25"/>
    <mergeCell ref="AB24:AB25"/>
    <mergeCell ref="AC24:AC25"/>
    <mergeCell ref="AB30:AB31"/>
    <mergeCell ref="AC30:AC31"/>
    <mergeCell ref="U32:X32"/>
    <mergeCell ref="AE5:AE6"/>
    <mergeCell ref="AF5:AF6"/>
    <mergeCell ref="AH5:AH6"/>
    <mergeCell ref="AE13:AE14"/>
    <mergeCell ref="AF13:AF14"/>
    <mergeCell ref="AH13:AH14"/>
    <mergeCell ref="AE22:AE23"/>
    <mergeCell ref="U30:U31"/>
    <mergeCell ref="V30:V31"/>
    <mergeCell ref="X30:X31"/>
    <mergeCell ref="Y30:Y31"/>
    <mergeCell ref="Z30:Z31"/>
    <mergeCell ref="AA30:AA31"/>
    <mergeCell ref="AB26:AB27"/>
    <mergeCell ref="AC26:AC27"/>
    <mergeCell ref="U28:U29"/>
    <mergeCell ref="V28:V29"/>
    <mergeCell ref="X28:X29"/>
    <mergeCell ref="Y28:Y29"/>
    <mergeCell ref="Z28:Z29"/>
    <mergeCell ref="AA28:AA29"/>
    <mergeCell ref="AI5:AI6"/>
    <mergeCell ref="AJ5:AJ6"/>
    <mergeCell ref="AK5:AK6"/>
    <mergeCell ref="AL5:AL6"/>
    <mergeCell ref="AM5:AM6"/>
    <mergeCell ref="AE7:AE8"/>
    <mergeCell ref="AF7:AF8"/>
    <mergeCell ref="AH7:AH8"/>
    <mergeCell ref="AI7:AI8"/>
    <mergeCell ref="AJ7:AJ8"/>
    <mergeCell ref="AK7:AK8"/>
    <mergeCell ref="AL7:AL8"/>
    <mergeCell ref="AM7:AM8"/>
    <mergeCell ref="AM13:AM14"/>
    <mergeCell ref="AE15:AH15"/>
    <mergeCell ref="AM9:AM10"/>
    <mergeCell ref="AE11:AE12"/>
    <mergeCell ref="AF11:AF12"/>
    <mergeCell ref="AH11:AH12"/>
    <mergeCell ref="AI11:AI12"/>
    <mergeCell ref="AJ11:AJ12"/>
    <mergeCell ref="AK11:AK12"/>
    <mergeCell ref="AL11:AL12"/>
    <mergeCell ref="AM11:AM12"/>
    <mergeCell ref="AE9:AE10"/>
    <mergeCell ref="AF9:AF10"/>
    <mergeCell ref="AH9:AH10"/>
    <mergeCell ref="AI9:AI10"/>
    <mergeCell ref="AJ9:AJ10"/>
    <mergeCell ref="AK9:AK10"/>
    <mergeCell ref="AL9:AL10"/>
    <mergeCell ref="AI13:AI14"/>
    <mergeCell ref="AJ13:AJ14"/>
    <mergeCell ref="AK13:AK14"/>
    <mergeCell ref="AL13:AL14"/>
    <mergeCell ref="AM22:AM23"/>
    <mergeCell ref="AE24:AE25"/>
    <mergeCell ref="AF24:AF25"/>
    <mergeCell ref="AH24:AH25"/>
    <mergeCell ref="AI24:AI25"/>
    <mergeCell ref="AJ24:AJ25"/>
    <mergeCell ref="AK24:AK25"/>
    <mergeCell ref="AL24:AL25"/>
    <mergeCell ref="AM24:AM25"/>
    <mergeCell ref="AF22:AF23"/>
    <mergeCell ref="AH22:AH23"/>
    <mergeCell ref="AI22:AI23"/>
    <mergeCell ref="AJ22:AJ23"/>
    <mergeCell ref="AK22:AK23"/>
    <mergeCell ref="AL22:AL23"/>
    <mergeCell ref="AL26:AL27"/>
    <mergeCell ref="AM26:AM27"/>
    <mergeCell ref="AE28:AE29"/>
    <mergeCell ref="AF28:AF29"/>
    <mergeCell ref="AH28:AH29"/>
    <mergeCell ref="AI28:AI29"/>
    <mergeCell ref="AJ28:AJ29"/>
    <mergeCell ref="AK28:AK29"/>
    <mergeCell ref="AL28:AL29"/>
    <mergeCell ref="AM28:AM29"/>
    <mergeCell ref="AE26:AE27"/>
    <mergeCell ref="AF26:AF27"/>
    <mergeCell ref="AH26:AH27"/>
    <mergeCell ref="AI26:AI27"/>
    <mergeCell ref="AJ26:AJ27"/>
    <mergeCell ref="AK26:AK27"/>
    <mergeCell ref="AL30:AL31"/>
    <mergeCell ref="AM30:AM31"/>
    <mergeCell ref="AE32:AH32"/>
    <mergeCell ref="AE30:AE31"/>
    <mergeCell ref="AF30:AF31"/>
    <mergeCell ref="AH30:AH31"/>
    <mergeCell ref="AI30:AI31"/>
    <mergeCell ref="AJ30:AJ31"/>
    <mergeCell ref="AK30:AK3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DEE3F-8E6E-454E-9059-531C0E114BD4}">
  <sheetPr codeName="Full14"/>
  <dimension ref="A1:AD4"/>
  <sheetViews>
    <sheetView workbookViewId="0">
      <selection activeCell="B5" sqref="B5"/>
    </sheetView>
  </sheetViews>
  <sheetFormatPr defaultRowHeight="14.4"/>
  <sheetData>
    <row r="1" spans="1:30" s="3" customFormat="1" ht="18">
      <c r="A1" s="234" t="s">
        <v>986</v>
      </c>
      <c r="B1" s="199"/>
      <c r="C1" s="199"/>
      <c r="D1" s="198"/>
      <c r="E1" s="198"/>
      <c r="F1" s="198"/>
      <c r="G1" s="198"/>
      <c r="H1" s="198"/>
      <c r="I1" s="198"/>
      <c r="J1" s="198"/>
      <c r="K1" s="198"/>
      <c r="L1" s="198"/>
      <c r="M1"/>
      <c r="N1"/>
      <c r="O1"/>
      <c r="P1"/>
      <c r="Q1"/>
      <c r="R1"/>
      <c r="S1"/>
      <c r="T1"/>
      <c r="U1"/>
      <c r="V1"/>
      <c r="W1"/>
      <c r="X1"/>
      <c r="Y1"/>
      <c r="Z1"/>
      <c r="AA1"/>
      <c r="AB1"/>
      <c r="AC1"/>
      <c r="AD1"/>
    </row>
    <row r="3" spans="1:30">
      <c r="B3" t="s">
        <v>987</v>
      </c>
    </row>
    <row r="4" spans="1:30">
      <c r="B4" t="s">
        <v>988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66F0C-1D52-44A6-94BC-E7549A0D19BC}">
  <sheetPr codeName="Full15"/>
  <dimension ref="A1:F316"/>
  <sheetViews>
    <sheetView zoomScale="85" zoomScaleNormal="85" workbookViewId="0">
      <pane ySplit="1" topLeftCell="A2" activePane="bottomLeft" state="frozen"/>
      <selection activeCell="B253" sqref="B253"/>
      <selection pane="bottomLeft" activeCell="A2" sqref="A2"/>
    </sheetView>
  </sheetViews>
  <sheetFormatPr defaultColWidth="8.88671875" defaultRowHeight="14.4"/>
  <cols>
    <col min="1" max="1" width="25.44140625" style="253" bestFit="1" customWidth="1"/>
    <col min="2" max="2" width="14.88671875" style="253" customWidth="1"/>
    <col min="3" max="3" width="14.5546875" style="253" bestFit="1" customWidth="1"/>
    <col min="4" max="4" width="32.109375" style="253" bestFit="1" customWidth="1"/>
    <col min="5" max="5" width="9.88671875" style="253" customWidth="1"/>
    <col min="6" max="6" width="9.88671875" style="257" customWidth="1"/>
    <col min="7" max="16384" width="8.88671875" style="253"/>
  </cols>
  <sheetData>
    <row r="1" spans="1:6" ht="39.6">
      <c r="A1" s="252" t="s">
        <v>463</v>
      </c>
      <c r="B1" s="252" t="s">
        <v>464</v>
      </c>
      <c r="C1" s="252" t="s">
        <v>465</v>
      </c>
      <c r="D1" s="252" t="s">
        <v>466</v>
      </c>
      <c r="E1" s="252" t="s">
        <v>467</v>
      </c>
      <c r="F1" s="252" t="s">
        <v>468</v>
      </c>
    </row>
    <row r="2" spans="1:6">
      <c r="A2" s="254" t="s">
        <v>469</v>
      </c>
      <c r="B2" s="255">
        <v>12848</v>
      </c>
      <c r="C2" s="254" t="s">
        <v>470</v>
      </c>
      <c r="D2" s="254" t="s">
        <v>471</v>
      </c>
      <c r="E2" s="254">
        <v>105</v>
      </c>
      <c r="F2" s="256" t="s">
        <v>453</v>
      </c>
    </row>
    <row r="3" spans="1:6">
      <c r="A3" s="254" t="s">
        <v>472</v>
      </c>
      <c r="B3" s="255">
        <v>294</v>
      </c>
      <c r="C3" s="254" t="s">
        <v>473</v>
      </c>
      <c r="D3" s="254" t="s">
        <v>474</v>
      </c>
      <c r="E3" s="254">
        <v>641</v>
      </c>
      <c r="F3" s="256" t="s">
        <v>456</v>
      </c>
    </row>
    <row r="4" spans="1:6">
      <c r="A4" s="254" t="s">
        <v>475</v>
      </c>
      <c r="B4" s="255">
        <v>2567</v>
      </c>
      <c r="C4" s="254" t="s">
        <v>476</v>
      </c>
      <c r="D4" s="254" t="s">
        <v>477</v>
      </c>
      <c r="E4" s="254">
        <v>404</v>
      </c>
      <c r="F4" s="256" t="s">
        <v>457</v>
      </c>
    </row>
    <row r="5" spans="1:6">
      <c r="A5" s="254" t="s">
        <v>478</v>
      </c>
      <c r="B5" s="255">
        <v>10139</v>
      </c>
      <c r="C5" s="254" t="s">
        <v>479</v>
      </c>
      <c r="D5" s="254" t="s">
        <v>480</v>
      </c>
      <c r="E5" s="254">
        <v>90</v>
      </c>
      <c r="F5" s="256" t="s">
        <v>453</v>
      </c>
    </row>
    <row r="6" spans="1:6">
      <c r="A6" s="254" t="s">
        <v>481</v>
      </c>
      <c r="B6" s="255">
        <v>273</v>
      </c>
      <c r="C6" s="254" t="s">
        <v>482</v>
      </c>
      <c r="D6" s="254" t="s">
        <v>483</v>
      </c>
      <c r="E6" s="254">
        <v>855</v>
      </c>
      <c r="F6" s="256" t="s">
        <v>459</v>
      </c>
    </row>
    <row r="7" spans="1:6">
      <c r="A7" s="254" t="s">
        <v>484</v>
      </c>
      <c r="B7" s="255">
        <v>16342</v>
      </c>
      <c r="C7" s="254" t="s">
        <v>479</v>
      </c>
      <c r="D7" s="254" t="s">
        <v>480</v>
      </c>
      <c r="E7" s="254">
        <v>10</v>
      </c>
      <c r="F7" s="256" t="s">
        <v>453</v>
      </c>
    </row>
    <row r="8" spans="1:6">
      <c r="A8" s="254" t="s">
        <v>485</v>
      </c>
      <c r="B8" s="255">
        <v>9413</v>
      </c>
      <c r="C8" s="254" t="s">
        <v>479</v>
      </c>
      <c r="D8" s="254" t="s">
        <v>480</v>
      </c>
      <c r="E8" s="254">
        <v>121</v>
      </c>
      <c r="F8" s="256" t="s">
        <v>453</v>
      </c>
    </row>
    <row r="9" spans="1:6">
      <c r="A9" s="254" t="s">
        <v>486</v>
      </c>
      <c r="B9" s="255">
        <v>222</v>
      </c>
      <c r="C9" s="254" t="s">
        <v>487</v>
      </c>
      <c r="D9" s="254" t="s">
        <v>488</v>
      </c>
      <c r="E9" s="254">
        <v>768</v>
      </c>
      <c r="F9" s="256" t="s">
        <v>459</v>
      </c>
    </row>
    <row r="10" spans="1:6">
      <c r="A10" s="254" t="s">
        <v>489</v>
      </c>
      <c r="B10" s="255">
        <v>12846</v>
      </c>
      <c r="C10" s="254" t="s">
        <v>479</v>
      </c>
      <c r="D10" s="254" t="s">
        <v>480</v>
      </c>
      <c r="E10" s="254">
        <v>88</v>
      </c>
      <c r="F10" s="256" t="s">
        <v>453</v>
      </c>
    </row>
    <row r="11" spans="1:6">
      <c r="A11" s="254" t="s">
        <v>490</v>
      </c>
      <c r="B11" s="255">
        <v>5994</v>
      </c>
      <c r="C11" s="254" t="s">
        <v>473</v>
      </c>
      <c r="D11" s="254" t="s">
        <v>474</v>
      </c>
      <c r="E11" s="254">
        <v>223</v>
      </c>
      <c r="F11" s="256" t="s">
        <v>453</v>
      </c>
    </row>
    <row r="12" spans="1:6">
      <c r="A12" s="254" t="s">
        <v>491</v>
      </c>
      <c r="B12" s="255">
        <v>2249</v>
      </c>
      <c r="C12" s="254" t="s">
        <v>492</v>
      </c>
      <c r="D12" s="254" t="s">
        <v>493</v>
      </c>
      <c r="E12" s="254">
        <v>693</v>
      </c>
      <c r="F12" s="256" t="s">
        <v>456</v>
      </c>
    </row>
    <row r="13" spans="1:6">
      <c r="A13" s="254" t="s">
        <v>494</v>
      </c>
      <c r="B13" s="255">
        <v>2289</v>
      </c>
      <c r="C13" s="254" t="s">
        <v>473</v>
      </c>
      <c r="D13" s="254" t="s">
        <v>474</v>
      </c>
      <c r="E13" s="254">
        <v>353</v>
      </c>
      <c r="F13" s="256" t="s">
        <v>457</v>
      </c>
    </row>
    <row r="14" spans="1:6">
      <c r="A14" s="254" t="s">
        <v>495</v>
      </c>
      <c r="B14" s="255">
        <v>1732</v>
      </c>
      <c r="C14" s="254" t="s">
        <v>496</v>
      </c>
      <c r="D14" s="254" t="s">
        <v>497</v>
      </c>
      <c r="E14" s="254">
        <v>331</v>
      </c>
      <c r="F14" s="256" t="s">
        <v>457</v>
      </c>
    </row>
    <row r="15" spans="1:6">
      <c r="A15" s="254" t="s">
        <v>498</v>
      </c>
      <c r="B15" s="255">
        <v>225957</v>
      </c>
      <c r="C15" s="254" t="s">
        <v>499</v>
      </c>
      <c r="D15" s="254" t="s">
        <v>500</v>
      </c>
      <c r="E15" s="254">
        <v>6</v>
      </c>
      <c r="F15" s="256" t="s">
        <v>453</v>
      </c>
    </row>
    <row r="16" spans="1:6">
      <c r="A16" s="254" t="s">
        <v>501</v>
      </c>
      <c r="B16" s="255">
        <v>13074</v>
      </c>
      <c r="C16" s="254" t="s">
        <v>502</v>
      </c>
      <c r="D16" s="254" t="s">
        <v>503</v>
      </c>
      <c r="E16" s="254">
        <v>122</v>
      </c>
      <c r="F16" s="256" t="s">
        <v>453</v>
      </c>
    </row>
    <row r="17" spans="1:6">
      <c r="A17" s="254" t="s">
        <v>504</v>
      </c>
      <c r="B17" s="255">
        <v>2149</v>
      </c>
      <c r="C17" s="254" t="s">
        <v>492</v>
      </c>
      <c r="D17" s="254" t="s">
        <v>493</v>
      </c>
      <c r="E17" s="254">
        <v>785</v>
      </c>
      <c r="F17" s="256" t="s">
        <v>459</v>
      </c>
    </row>
    <row r="18" spans="1:6">
      <c r="A18" s="254" t="s">
        <v>505</v>
      </c>
      <c r="B18" s="255">
        <v>3969</v>
      </c>
      <c r="C18" s="254" t="s">
        <v>506</v>
      </c>
      <c r="D18" s="254" t="s">
        <v>483</v>
      </c>
      <c r="E18" s="254">
        <v>587</v>
      </c>
      <c r="F18" s="256" t="s">
        <v>456</v>
      </c>
    </row>
    <row r="19" spans="1:6">
      <c r="A19" s="254" t="s">
        <v>507</v>
      </c>
      <c r="B19" s="255">
        <v>3307</v>
      </c>
      <c r="C19" s="254" t="s">
        <v>473</v>
      </c>
      <c r="D19" s="254" t="s">
        <v>474</v>
      </c>
      <c r="E19" s="254">
        <v>327</v>
      </c>
      <c r="F19" s="256" t="s">
        <v>457</v>
      </c>
    </row>
    <row r="20" spans="1:6">
      <c r="A20" s="254" t="s">
        <v>508</v>
      </c>
      <c r="B20" s="255">
        <v>33322</v>
      </c>
      <c r="C20" s="254" t="s">
        <v>502</v>
      </c>
      <c r="D20" s="254" t="s">
        <v>503</v>
      </c>
      <c r="E20" s="254">
        <v>146</v>
      </c>
      <c r="F20" s="256" t="s">
        <v>453</v>
      </c>
    </row>
    <row r="21" spans="1:6">
      <c r="A21" s="254" t="s">
        <v>509</v>
      </c>
      <c r="B21" s="255">
        <v>1660122</v>
      </c>
      <c r="C21" s="254" t="s">
        <v>499</v>
      </c>
      <c r="D21" s="254" t="s">
        <v>500</v>
      </c>
      <c r="E21" s="254">
        <v>4</v>
      </c>
      <c r="F21" s="256" t="s">
        <v>453</v>
      </c>
    </row>
    <row r="22" spans="1:6">
      <c r="A22" s="254" t="s">
        <v>510</v>
      </c>
      <c r="B22" s="255">
        <v>7432</v>
      </c>
      <c r="C22" s="254" t="s">
        <v>470</v>
      </c>
      <c r="D22" s="254" t="s">
        <v>471</v>
      </c>
      <c r="E22" s="254">
        <v>399</v>
      </c>
      <c r="F22" s="256" t="s">
        <v>457</v>
      </c>
    </row>
    <row r="23" spans="1:6">
      <c r="A23" s="254" t="s">
        <v>511</v>
      </c>
      <c r="B23" s="255">
        <v>72</v>
      </c>
      <c r="C23" s="254" t="s">
        <v>487</v>
      </c>
      <c r="D23" s="254" t="s">
        <v>488</v>
      </c>
      <c r="E23" s="254">
        <v>653</v>
      </c>
      <c r="F23" s="256" t="s">
        <v>456</v>
      </c>
    </row>
    <row r="24" spans="1:6">
      <c r="A24" s="254" t="s">
        <v>512</v>
      </c>
      <c r="B24" s="255">
        <v>16959</v>
      </c>
      <c r="C24" s="254" t="s">
        <v>492</v>
      </c>
      <c r="D24" s="254" t="s">
        <v>493</v>
      </c>
      <c r="E24" s="254">
        <v>704</v>
      </c>
      <c r="F24" s="256" t="s">
        <v>456</v>
      </c>
    </row>
    <row r="25" spans="1:6">
      <c r="A25" s="254" t="s">
        <v>513</v>
      </c>
      <c r="B25" s="255">
        <v>9949</v>
      </c>
      <c r="C25" s="254" t="s">
        <v>476</v>
      </c>
      <c r="D25" s="254" t="s">
        <v>477</v>
      </c>
      <c r="E25" s="254">
        <v>280</v>
      </c>
      <c r="F25" s="256" t="s">
        <v>457</v>
      </c>
    </row>
    <row r="26" spans="1:6">
      <c r="A26" s="254" t="s">
        <v>514</v>
      </c>
      <c r="B26" s="255">
        <v>430</v>
      </c>
      <c r="C26" s="254" t="s">
        <v>492</v>
      </c>
      <c r="D26" s="254" t="s">
        <v>493</v>
      </c>
      <c r="E26" s="254">
        <v>854</v>
      </c>
      <c r="F26" s="256" t="s">
        <v>459</v>
      </c>
    </row>
    <row r="27" spans="1:6">
      <c r="A27" s="254" t="s">
        <v>515</v>
      </c>
      <c r="B27" s="255">
        <v>1665</v>
      </c>
      <c r="C27" s="254" t="s">
        <v>487</v>
      </c>
      <c r="D27" s="254" t="s">
        <v>488</v>
      </c>
      <c r="E27" s="254">
        <v>347</v>
      </c>
      <c r="F27" s="256" t="s">
        <v>457</v>
      </c>
    </row>
    <row r="28" spans="1:6">
      <c r="A28" s="254" t="s">
        <v>516</v>
      </c>
      <c r="B28" s="255">
        <v>4945</v>
      </c>
      <c r="C28" s="254" t="s">
        <v>479</v>
      </c>
      <c r="D28" s="254" t="s">
        <v>480</v>
      </c>
      <c r="E28" s="254">
        <v>104</v>
      </c>
      <c r="F28" s="256" t="s">
        <v>453</v>
      </c>
    </row>
    <row r="29" spans="1:6">
      <c r="A29" s="254" t="s">
        <v>517</v>
      </c>
      <c r="B29" s="255">
        <v>7799</v>
      </c>
      <c r="C29" s="254" t="s">
        <v>479</v>
      </c>
      <c r="D29" s="254" t="s">
        <v>480</v>
      </c>
      <c r="E29" s="254">
        <v>147</v>
      </c>
      <c r="F29" s="256" t="s">
        <v>453</v>
      </c>
    </row>
    <row r="30" spans="1:6">
      <c r="A30" s="254" t="s">
        <v>518</v>
      </c>
      <c r="B30" s="255">
        <v>3566</v>
      </c>
      <c r="C30" s="254" t="s">
        <v>487</v>
      </c>
      <c r="D30" s="254" t="s">
        <v>488</v>
      </c>
      <c r="E30" s="254">
        <v>680</v>
      </c>
      <c r="F30" s="256" t="s">
        <v>456</v>
      </c>
    </row>
    <row r="31" spans="1:6">
      <c r="A31" s="254" t="s">
        <v>519</v>
      </c>
      <c r="B31" s="255">
        <v>1097</v>
      </c>
      <c r="C31" s="254" t="s">
        <v>520</v>
      </c>
      <c r="D31" s="254" t="s">
        <v>521</v>
      </c>
      <c r="E31" s="254">
        <v>552</v>
      </c>
      <c r="F31" s="256" t="s">
        <v>456</v>
      </c>
    </row>
    <row r="32" spans="1:6">
      <c r="A32" s="254" t="s">
        <v>522</v>
      </c>
      <c r="B32" s="255">
        <v>18109</v>
      </c>
      <c r="C32" s="254" t="s">
        <v>476</v>
      </c>
      <c r="D32" s="254" t="s">
        <v>477</v>
      </c>
      <c r="E32" s="254">
        <v>203</v>
      </c>
      <c r="F32" s="256" t="s">
        <v>453</v>
      </c>
    </row>
    <row r="33" spans="1:6">
      <c r="A33" s="254" t="s">
        <v>523</v>
      </c>
      <c r="B33" s="255">
        <v>3223</v>
      </c>
      <c r="C33" s="254" t="s">
        <v>479</v>
      </c>
      <c r="D33" s="254" t="s">
        <v>480</v>
      </c>
      <c r="E33" s="254">
        <v>33</v>
      </c>
      <c r="F33" s="256" t="s">
        <v>453</v>
      </c>
    </row>
    <row r="34" spans="1:6">
      <c r="A34" s="254" t="s">
        <v>524</v>
      </c>
      <c r="B34" s="255">
        <v>19862</v>
      </c>
      <c r="C34" s="254" t="s">
        <v>479</v>
      </c>
      <c r="D34" s="254" t="s">
        <v>480</v>
      </c>
      <c r="E34" s="254">
        <v>5</v>
      </c>
      <c r="F34" s="256" t="s">
        <v>453</v>
      </c>
    </row>
    <row r="35" spans="1:6">
      <c r="A35" s="254" t="s">
        <v>525</v>
      </c>
      <c r="B35" s="255">
        <v>2601</v>
      </c>
      <c r="C35" s="254" t="s">
        <v>506</v>
      </c>
      <c r="D35" s="254" t="s">
        <v>483</v>
      </c>
      <c r="E35" s="254">
        <v>489</v>
      </c>
      <c r="F35" s="256" t="s">
        <v>456</v>
      </c>
    </row>
    <row r="36" spans="1:6">
      <c r="A36" s="254" t="s">
        <v>526</v>
      </c>
      <c r="B36" s="255">
        <v>2099</v>
      </c>
      <c r="C36" s="254" t="s">
        <v>473</v>
      </c>
      <c r="D36" s="254" t="s">
        <v>474</v>
      </c>
      <c r="E36" s="254">
        <v>260</v>
      </c>
      <c r="F36" s="256" t="s">
        <v>457</v>
      </c>
    </row>
    <row r="37" spans="1:6">
      <c r="A37" s="254" t="s">
        <v>527</v>
      </c>
      <c r="B37" s="255">
        <v>188</v>
      </c>
      <c r="C37" s="254" t="s">
        <v>487</v>
      </c>
      <c r="D37" s="254" t="s">
        <v>488</v>
      </c>
      <c r="E37" s="254">
        <v>643</v>
      </c>
      <c r="F37" s="256" t="s">
        <v>456</v>
      </c>
    </row>
    <row r="38" spans="1:6">
      <c r="A38" s="254" t="s">
        <v>528</v>
      </c>
      <c r="B38" s="255">
        <v>589</v>
      </c>
      <c r="C38" s="254" t="s">
        <v>476</v>
      </c>
      <c r="D38" s="254" t="s">
        <v>477</v>
      </c>
      <c r="E38" s="254">
        <v>321</v>
      </c>
      <c r="F38" s="256" t="s">
        <v>457</v>
      </c>
    </row>
    <row r="39" spans="1:6">
      <c r="A39" s="254" t="s">
        <v>529</v>
      </c>
      <c r="B39" s="255">
        <v>15010</v>
      </c>
      <c r="C39" s="254" t="s">
        <v>479</v>
      </c>
      <c r="D39" s="254" t="s">
        <v>480</v>
      </c>
      <c r="E39" s="254">
        <v>15</v>
      </c>
      <c r="F39" s="256" t="s">
        <v>453</v>
      </c>
    </row>
    <row r="40" spans="1:6">
      <c r="A40" s="254" t="s">
        <v>530</v>
      </c>
      <c r="B40" s="255">
        <v>17051</v>
      </c>
      <c r="C40" s="254" t="s">
        <v>476</v>
      </c>
      <c r="D40" s="254" t="s">
        <v>477</v>
      </c>
      <c r="E40" s="254">
        <v>175</v>
      </c>
      <c r="F40" s="256" t="s">
        <v>453</v>
      </c>
    </row>
    <row r="41" spans="1:6">
      <c r="A41" s="254" t="s">
        <v>531</v>
      </c>
      <c r="B41" s="255">
        <v>3322</v>
      </c>
      <c r="C41" s="254" t="s">
        <v>476</v>
      </c>
      <c r="D41" s="254" t="s">
        <v>477</v>
      </c>
      <c r="E41" s="254">
        <v>346</v>
      </c>
      <c r="F41" s="256" t="s">
        <v>457</v>
      </c>
    </row>
    <row r="42" spans="1:6">
      <c r="A42" s="254" t="s">
        <v>532</v>
      </c>
      <c r="B42" s="255">
        <v>5218</v>
      </c>
      <c r="C42" s="254" t="s">
        <v>533</v>
      </c>
      <c r="D42" s="254" t="s">
        <v>534</v>
      </c>
      <c r="E42" s="254">
        <v>142</v>
      </c>
      <c r="F42" s="256" t="s">
        <v>453</v>
      </c>
    </row>
    <row r="43" spans="1:6">
      <c r="A43" s="254" t="s">
        <v>535</v>
      </c>
      <c r="B43" s="255">
        <v>5417</v>
      </c>
      <c r="C43" s="254" t="s">
        <v>487</v>
      </c>
      <c r="D43" s="254" t="s">
        <v>488</v>
      </c>
      <c r="E43" s="254">
        <v>317</v>
      </c>
      <c r="F43" s="256" t="s">
        <v>457</v>
      </c>
    </row>
    <row r="44" spans="1:6">
      <c r="A44" s="254" t="s">
        <v>536</v>
      </c>
      <c r="B44" s="255">
        <v>88</v>
      </c>
      <c r="C44" s="254" t="s">
        <v>492</v>
      </c>
      <c r="D44" s="254" t="s">
        <v>493</v>
      </c>
      <c r="E44" s="254">
        <v>1279</v>
      </c>
      <c r="F44" s="256" t="s">
        <v>459</v>
      </c>
    </row>
    <row r="45" spans="1:6">
      <c r="A45" s="254" t="s">
        <v>537</v>
      </c>
      <c r="B45" s="255">
        <v>19023</v>
      </c>
      <c r="C45" s="254" t="s">
        <v>476</v>
      </c>
      <c r="D45" s="254" t="s">
        <v>477</v>
      </c>
      <c r="E45" s="254">
        <v>193</v>
      </c>
      <c r="F45" s="256" t="s">
        <v>453</v>
      </c>
    </row>
    <row r="46" spans="1:6">
      <c r="A46" s="254" t="s">
        <v>538</v>
      </c>
      <c r="B46" s="255">
        <v>4569</v>
      </c>
      <c r="C46" s="254" t="s">
        <v>473</v>
      </c>
      <c r="D46" s="254" t="s">
        <v>474</v>
      </c>
      <c r="E46" s="254">
        <v>506</v>
      </c>
      <c r="F46" s="256" t="s">
        <v>456</v>
      </c>
    </row>
    <row r="47" spans="1:6">
      <c r="A47" s="254" t="s">
        <v>539</v>
      </c>
      <c r="B47" s="255">
        <v>783</v>
      </c>
      <c r="C47" s="254" t="s">
        <v>487</v>
      </c>
      <c r="D47" s="254" t="s">
        <v>488</v>
      </c>
      <c r="E47" s="254">
        <v>351</v>
      </c>
      <c r="F47" s="256" t="s">
        <v>457</v>
      </c>
    </row>
    <row r="48" spans="1:6">
      <c r="A48" s="254" t="s">
        <v>540</v>
      </c>
      <c r="B48" s="255">
        <v>1630</v>
      </c>
      <c r="C48" s="254" t="s">
        <v>492</v>
      </c>
      <c r="D48" s="254" t="s">
        <v>493</v>
      </c>
      <c r="E48" s="254">
        <v>617</v>
      </c>
      <c r="F48" s="256" t="s">
        <v>456</v>
      </c>
    </row>
    <row r="49" spans="1:6">
      <c r="A49" s="254" t="s">
        <v>541</v>
      </c>
      <c r="B49" s="255">
        <v>69</v>
      </c>
      <c r="C49" s="254" t="s">
        <v>492</v>
      </c>
      <c r="D49" s="254" t="s">
        <v>493</v>
      </c>
      <c r="E49" s="254">
        <v>954</v>
      </c>
      <c r="F49" s="256" t="s">
        <v>459</v>
      </c>
    </row>
    <row r="50" spans="1:6">
      <c r="A50" s="254" t="s">
        <v>542</v>
      </c>
      <c r="B50" s="255">
        <v>171</v>
      </c>
      <c r="C50" s="254" t="s">
        <v>492</v>
      </c>
      <c r="D50" s="254" t="s">
        <v>493</v>
      </c>
      <c r="E50" s="254">
        <v>1395</v>
      </c>
      <c r="F50" s="256" t="s">
        <v>459</v>
      </c>
    </row>
    <row r="51" spans="1:6">
      <c r="A51" s="254" t="s">
        <v>543</v>
      </c>
      <c r="B51" s="255">
        <v>169</v>
      </c>
      <c r="C51" s="254" t="s">
        <v>492</v>
      </c>
      <c r="D51" s="254" t="s">
        <v>493</v>
      </c>
      <c r="E51" s="254">
        <v>1234</v>
      </c>
      <c r="F51" s="256" t="s">
        <v>459</v>
      </c>
    </row>
    <row r="52" spans="1:6">
      <c r="A52" s="254" t="s">
        <v>544</v>
      </c>
      <c r="B52" s="255">
        <v>25150</v>
      </c>
      <c r="C52" s="254" t="s">
        <v>502</v>
      </c>
      <c r="D52" s="254" t="s">
        <v>503</v>
      </c>
      <c r="E52" s="254">
        <v>331</v>
      </c>
      <c r="F52" s="256" t="s">
        <v>457</v>
      </c>
    </row>
    <row r="53" spans="1:6">
      <c r="A53" s="254" t="s">
        <v>545</v>
      </c>
      <c r="B53" s="255">
        <v>4054</v>
      </c>
      <c r="C53" s="254" t="s">
        <v>473</v>
      </c>
      <c r="D53" s="254" t="s">
        <v>474</v>
      </c>
      <c r="E53" s="254">
        <v>188</v>
      </c>
      <c r="F53" s="256" t="s">
        <v>453</v>
      </c>
    </row>
    <row r="54" spans="1:6">
      <c r="A54" s="254" t="s">
        <v>546</v>
      </c>
      <c r="B54" s="255">
        <v>12813</v>
      </c>
      <c r="C54" s="254" t="s">
        <v>502</v>
      </c>
      <c r="D54" s="254" t="s">
        <v>503</v>
      </c>
      <c r="E54" s="254">
        <v>132</v>
      </c>
      <c r="F54" s="256" t="s">
        <v>453</v>
      </c>
    </row>
    <row r="55" spans="1:6">
      <c r="A55" s="254" t="s">
        <v>547</v>
      </c>
      <c r="B55" s="255">
        <v>778</v>
      </c>
      <c r="C55" s="254" t="s">
        <v>520</v>
      </c>
      <c r="D55" s="254" t="s">
        <v>521</v>
      </c>
      <c r="E55" s="254">
        <v>693</v>
      </c>
      <c r="F55" s="256" t="s">
        <v>456</v>
      </c>
    </row>
    <row r="56" spans="1:6">
      <c r="A56" s="254" t="s">
        <v>548</v>
      </c>
      <c r="B56" s="255">
        <v>68427</v>
      </c>
      <c r="C56" s="254" t="s">
        <v>470</v>
      </c>
      <c r="D56" s="254" t="s">
        <v>471</v>
      </c>
      <c r="E56" s="254">
        <v>3</v>
      </c>
      <c r="F56" s="256" t="s">
        <v>453</v>
      </c>
    </row>
    <row r="57" spans="1:6">
      <c r="A57" s="254" t="s">
        <v>549</v>
      </c>
      <c r="B57" s="255">
        <v>2572</v>
      </c>
      <c r="C57" s="254" t="s">
        <v>496</v>
      </c>
      <c r="D57" s="254" t="s">
        <v>497</v>
      </c>
      <c r="E57" s="254">
        <v>159</v>
      </c>
      <c r="F57" s="256" t="s">
        <v>453</v>
      </c>
    </row>
    <row r="58" spans="1:6">
      <c r="A58" s="254" t="s">
        <v>550</v>
      </c>
      <c r="B58" s="255">
        <v>162</v>
      </c>
      <c r="C58" s="254" t="s">
        <v>487</v>
      </c>
      <c r="D58" s="254" t="s">
        <v>488</v>
      </c>
      <c r="E58" s="254">
        <v>467</v>
      </c>
      <c r="F58" s="256" t="s">
        <v>456</v>
      </c>
    </row>
    <row r="59" spans="1:6">
      <c r="A59" s="254" t="s">
        <v>551</v>
      </c>
      <c r="B59" s="255">
        <v>461</v>
      </c>
      <c r="C59" s="254" t="s">
        <v>473</v>
      </c>
      <c r="D59" s="254" t="s">
        <v>474</v>
      </c>
      <c r="E59" s="254">
        <v>702</v>
      </c>
      <c r="F59" s="256" t="s">
        <v>456</v>
      </c>
    </row>
    <row r="60" spans="1:6">
      <c r="A60" s="254" t="s">
        <v>552</v>
      </c>
      <c r="B60" s="255">
        <v>2311</v>
      </c>
      <c r="C60" s="254" t="s">
        <v>473</v>
      </c>
      <c r="D60" s="254" t="s">
        <v>474</v>
      </c>
      <c r="E60" s="254">
        <v>266</v>
      </c>
      <c r="F60" s="256" t="s">
        <v>457</v>
      </c>
    </row>
    <row r="61" spans="1:6">
      <c r="A61" s="254" t="s">
        <v>553</v>
      </c>
      <c r="B61" s="255">
        <v>1427</v>
      </c>
      <c r="C61" s="254" t="s">
        <v>473</v>
      </c>
      <c r="D61" s="254" t="s">
        <v>474</v>
      </c>
      <c r="E61" s="254">
        <v>469</v>
      </c>
      <c r="F61" s="256" t="s">
        <v>456</v>
      </c>
    </row>
    <row r="62" spans="1:6">
      <c r="A62" s="254" t="s">
        <v>554</v>
      </c>
      <c r="B62" s="255">
        <v>651</v>
      </c>
      <c r="C62" s="254" t="s">
        <v>487</v>
      </c>
      <c r="D62" s="254" t="s">
        <v>488</v>
      </c>
      <c r="E62" s="254">
        <v>415</v>
      </c>
      <c r="F62" s="256" t="s">
        <v>457</v>
      </c>
    </row>
    <row r="63" spans="1:6">
      <c r="A63" s="254" t="s">
        <v>555</v>
      </c>
      <c r="B63" s="255">
        <v>2735</v>
      </c>
      <c r="C63" s="254" t="s">
        <v>520</v>
      </c>
      <c r="D63" s="254" t="s">
        <v>521</v>
      </c>
      <c r="E63" s="254">
        <v>726</v>
      </c>
      <c r="F63" s="256" t="s">
        <v>456</v>
      </c>
    </row>
    <row r="64" spans="1:6">
      <c r="A64" s="254" t="s">
        <v>556</v>
      </c>
      <c r="B64" s="255">
        <v>1674</v>
      </c>
      <c r="C64" s="254" t="s">
        <v>496</v>
      </c>
      <c r="D64" s="254" t="s">
        <v>497</v>
      </c>
      <c r="E64" s="254">
        <v>313</v>
      </c>
      <c r="F64" s="256" t="s">
        <v>457</v>
      </c>
    </row>
    <row r="65" spans="1:6">
      <c r="A65" s="254" t="s">
        <v>557</v>
      </c>
      <c r="B65" s="255">
        <v>2089</v>
      </c>
      <c r="C65" s="254" t="s">
        <v>470</v>
      </c>
      <c r="D65" s="254" t="s">
        <v>471</v>
      </c>
      <c r="E65" s="254">
        <v>98</v>
      </c>
      <c r="F65" s="256" t="s">
        <v>453</v>
      </c>
    </row>
    <row r="66" spans="1:6">
      <c r="A66" s="254" t="s">
        <v>558</v>
      </c>
      <c r="B66" s="255">
        <v>7726</v>
      </c>
      <c r="C66" s="254" t="s">
        <v>506</v>
      </c>
      <c r="D66" s="254" t="s">
        <v>483</v>
      </c>
      <c r="E66" s="254">
        <v>496</v>
      </c>
      <c r="F66" s="256" t="s">
        <v>456</v>
      </c>
    </row>
    <row r="67" spans="1:6">
      <c r="A67" s="254" t="s">
        <v>559</v>
      </c>
      <c r="B67" s="255">
        <v>1196</v>
      </c>
      <c r="C67" s="254" t="s">
        <v>492</v>
      </c>
      <c r="D67" s="254" t="s">
        <v>493</v>
      </c>
      <c r="E67" s="254">
        <v>650</v>
      </c>
      <c r="F67" s="256" t="s">
        <v>456</v>
      </c>
    </row>
    <row r="68" spans="1:6">
      <c r="A68" s="254" t="s">
        <v>560</v>
      </c>
      <c r="B68" s="255">
        <v>57879</v>
      </c>
      <c r="C68" s="254" t="s">
        <v>502</v>
      </c>
      <c r="D68" s="254" t="s">
        <v>503</v>
      </c>
      <c r="E68" s="254">
        <v>32</v>
      </c>
      <c r="F68" s="256" t="s">
        <v>453</v>
      </c>
    </row>
    <row r="69" spans="1:6">
      <c r="A69" s="254" t="s">
        <v>561</v>
      </c>
      <c r="B69" s="255">
        <v>9469</v>
      </c>
      <c r="C69" s="254" t="s">
        <v>470</v>
      </c>
      <c r="D69" s="254" t="s">
        <v>471</v>
      </c>
      <c r="E69" s="254">
        <v>122</v>
      </c>
      <c r="F69" s="256" t="s">
        <v>453</v>
      </c>
    </row>
    <row r="70" spans="1:6">
      <c r="A70" s="254" t="s">
        <v>562</v>
      </c>
      <c r="B70" s="255">
        <v>4828</v>
      </c>
      <c r="C70" s="254" t="s">
        <v>470</v>
      </c>
      <c r="D70" s="254" t="s">
        <v>471</v>
      </c>
      <c r="E70" s="254">
        <v>388</v>
      </c>
      <c r="F70" s="256" t="s">
        <v>457</v>
      </c>
    </row>
    <row r="71" spans="1:6">
      <c r="A71" s="254" t="s">
        <v>563</v>
      </c>
      <c r="B71" s="255">
        <v>387</v>
      </c>
      <c r="C71" s="254" t="s">
        <v>520</v>
      </c>
      <c r="D71" s="254" t="s">
        <v>521</v>
      </c>
      <c r="E71" s="254">
        <v>901</v>
      </c>
      <c r="F71" s="256" t="s">
        <v>459</v>
      </c>
    </row>
    <row r="72" spans="1:6">
      <c r="A72" s="254" t="s">
        <v>564</v>
      </c>
      <c r="B72" s="255">
        <v>340</v>
      </c>
      <c r="C72" s="254" t="s">
        <v>487</v>
      </c>
      <c r="D72" s="254" t="s">
        <v>488</v>
      </c>
      <c r="E72" s="254">
        <v>432</v>
      </c>
      <c r="F72" s="256" t="s">
        <v>457</v>
      </c>
    </row>
    <row r="73" spans="1:6">
      <c r="A73" s="254" t="s">
        <v>565</v>
      </c>
      <c r="B73" s="255">
        <v>15466</v>
      </c>
      <c r="C73" s="254" t="s">
        <v>470</v>
      </c>
      <c r="D73" s="254" t="s">
        <v>471</v>
      </c>
      <c r="E73" s="254">
        <v>342</v>
      </c>
      <c r="F73" s="256" t="s">
        <v>457</v>
      </c>
    </row>
    <row r="74" spans="1:6">
      <c r="A74" s="254" t="s">
        <v>566</v>
      </c>
      <c r="B74" s="255">
        <v>90303</v>
      </c>
      <c r="C74" s="254" t="s">
        <v>470</v>
      </c>
      <c r="D74" s="254" t="s">
        <v>471</v>
      </c>
      <c r="E74" s="254">
        <v>27</v>
      </c>
      <c r="F74" s="256" t="s">
        <v>453</v>
      </c>
    </row>
    <row r="75" spans="1:6">
      <c r="A75" s="254" t="s">
        <v>567</v>
      </c>
      <c r="B75" s="255">
        <v>16914</v>
      </c>
      <c r="C75" s="254" t="s">
        <v>533</v>
      </c>
      <c r="D75" s="254" t="s">
        <v>534</v>
      </c>
      <c r="E75" s="254">
        <v>12</v>
      </c>
      <c r="F75" s="256" t="s">
        <v>453</v>
      </c>
    </row>
    <row r="76" spans="1:6">
      <c r="A76" s="254" t="s">
        <v>568</v>
      </c>
      <c r="B76" s="255">
        <v>5910</v>
      </c>
      <c r="C76" s="254" t="s">
        <v>479</v>
      </c>
      <c r="D76" s="254" t="s">
        <v>480</v>
      </c>
      <c r="E76" s="254">
        <v>147</v>
      </c>
      <c r="F76" s="256" t="s">
        <v>453</v>
      </c>
    </row>
    <row r="77" spans="1:6">
      <c r="A77" s="254" t="s">
        <v>569</v>
      </c>
      <c r="B77" s="255">
        <v>2268</v>
      </c>
      <c r="C77" s="254" t="s">
        <v>487</v>
      </c>
      <c r="D77" s="254" t="s">
        <v>488</v>
      </c>
      <c r="E77" s="254">
        <v>452</v>
      </c>
      <c r="F77" s="256" t="s">
        <v>456</v>
      </c>
    </row>
    <row r="78" spans="1:6">
      <c r="A78" s="254" t="s">
        <v>570</v>
      </c>
      <c r="B78" s="255">
        <v>287</v>
      </c>
      <c r="C78" s="254" t="s">
        <v>506</v>
      </c>
      <c r="D78" s="254" t="s">
        <v>483</v>
      </c>
      <c r="E78" s="254">
        <v>843</v>
      </c>
      <c r="F78" s="256" t="s">
        <v>459</v>
      </c>
    </row>
    <row r="79" spans="1:6">
      <c r="A79" s="254" t="s">
        <v>571</v>
      </c>
      <c r="B79" s="255">
        <v>24181</v>
      </c>
      <c r="C79" s="254" t="s">
        <v>479</v>
      </c>
      <c r="D79" s="254" t="s">
        <v>480</v>
      </c>
      <c r="E79" s="254">
        <v>27</v>
      </c>
      <c r="F79" s="256" t="s">
        <v>453</v>
      </c>
    </row>
    <row r="80" spans="1:6">
      <c r="A80" s="254" t="s">
        <v>572</v>
      </c>
      <c r="B80" s="255">
        <v>4325</v>
      </c>
      <c r="C80" s="254" t="s">
        <v>470</v>
      </c>
      <c r="D80" s="254" t="s">
        <v>471</v>
      </c>
      <c r="E80" s="254">
        <v>135</v>
      </c>
      <c r="F80" s="256" t="s">
        <v>453</v>
      </c>
    </row>
    <row r="81" spans="1:6">
      <c r="A81" s="254" t="s">
        <v>573</v>
      </c>
      <c r="B81" s="255">
        <v>1317</v>
      </c>
      <c r="C81" s="254" t="s">
        <v>496</v>
      </c>
      <c r="D81" s="254" t="s">
        <v>497</v>
      </c>
      <c r="E81" s="254">
        <v>216</v>
      </c>
      <c r="F81" s="256" t="s">
        <v>453</v>
      </c>
    </row>
    <row r="82" spans="1:6">
      <c r="A82" s="254" t="s">
        <v>574</v>
      </c>
      <c r="B82" s="255">
        <v>4101</v>
      </c>
      <c r="C82" s="254" t="s">
        <v>473</v>
      </c>
      <c r="D82" s="254" t="s">
        <v>474</v>
      </c>
      <c r="E82" s="254">
        <v>202</v>
      </c>
      <c r="F82" s="256" t="s">
        <v>453</v>
      </c>
    </row>
    <row r="83" spans="1:6">
      <c r="A83" s="254" t="s">
        <v>575</v>
      </c>
      <c r="B83" s="255">
        <v>65516</v>
      </c>
      <c r="C83" s="254" t="s">
        <v>470</v>
      </c>
      <c r="D83" s="254" t="s">
        <v>471</v>
      </c>
      <c r="E83" s="254">
        <v>5</v>
      </c>
      <c r="F83" s="256" t="s">
        <v>453</v>
      </c>
    </row>
    <row r="84" spans="1:6">
      <c r="A84" s="254" t="s">
        <v>576</v>
      </c>
      <c r="B84" s="255">
        <v>3188</v>
      </c>
      <c r="C84" s="254" t="s">
        <v>487</v>
      </c>
      <c r="D84" s="254" t="s">
        <v>488</v>
      </c>
      <c r="E84" s="254">
        <v>474</v>
      </c>
      <c r="F84" s="256" t="s">
        <v>456</v>
      </c>
    </row>
    <row r="85" spans="1:6">
      <c r="A85" s="254" t="s">
        <v>577</v>
      </c>
      <c r="B85" s="255">
        <v>558</v>
      </c>
      <c r="C85" s="254" t="s">
        <v>487</v>
      </c>
      <c r="D85" s="254" t="s">
        <v>488</v>
      </c>
      <c r="E85" s="254">
        <v>608</v>
      </c>
      <c r="F85" s="256" t="s">
        <v>456</v>
      </c>
    </row>
    <row r="86" spans="1:6">
      <c r="A86" s="254" t="s">
        <v>578</v>
      </c>
      <c r="B86" s="255">
        <v>22442</v>
      </c>
      <c r="C86" s="254" t="s">
        <v>470</v>
      </c>
      <c r="D86" s="254" t="s">
        <v>471</v>
      </c>
      <c r="E86" s="254">
        <v>187</v>
      </c>
      <c r="F86" s="256" t="s">
        <v>453</v>
      </c>
    </row>
    <row r="87" spans="1:6">
      <c r="A87" s="254" t="s">
        <v>579</v>
      </c>
      <c r="B87" s="255">
        <v>46921</v>
      </c>
      <c r="C87" s="254" t="s">
        <v>470</v>
      </c>
      <c r="D87" s="254" t="s">
        <v>471</v>
      </c>
      <c r="E87" s="254">
        <v>110</v>
      </c>
      <c r="F87" s="256" t="s">
        <v>453</v>
      </c>
    </row>
    <row r="88" spans="1:6">
      <c r="A88" s="254" t="s">
        <v>580</v>
      </c>
      <c r="B88" s="255">
        <v>1158</v>
      </c>
      <c r="C88" s="254" t="s">
        <v>476</v>
      </c>
      <c r="D88" s="254" t="s">
        <v>477</v>
      </c>
      <c r="E88" s="254">
        <v>330</v>
      </c>
      <c r="F88" s="256" t="s">
        <v>457</v>
      </c>
    </row>
    <row r="89" spans="1:6">
      <c r="A89" s="254" t="s">
        <v>581</v>
      </c>
      <c r="B89" s="255">
        <v>47</v>
      </c>
      <c r="C89" s="254" t="s">
        <v>492</v>
      </c>
      <c r="D89" s="254" t="s">
        <v>493</v>
      </c>
      <c r="E89" s="254">
        <v>1154</v>
      </c>
      <c r="F89" s="256" t="s">
        <v>459</v>
      </c>
    </row>
    <row r="90" spans="1:6">
      <c r="A90" s="254" t="s">
        <v>582</v>
      </c>
      <c r="B90" s="255">
        <v>1632</v>
      </c>
      <c r="C90" s="254" t="s">
        <v>583</v>
      </c>
      <c r="D90" s="254" t="s">
        <v>584</v>
      </c>
      <c r="E90" s="254">
        <v>45</v>
      </c>
      <c r="F90" s="256" t="s">
        <v>453</v>
      </c>
    </row>
    <row r="91" spans="1:6">
      <c r="A91" s="254" t="s">
        <v>585</v>
      </c>
      <c r="B91" s="255">
        <v>482</v>
      </c>
      <c r="C91" s="254" t="s">
        <v>476</v>
      </c>
      <c r="D91" s="254" t="s">
        <v>477</v>
      </c>
      <c r="E91" s="254">
        <v>550</v>
      </c>
      <c r="F91" s="256" t="s">
        <v>456</v>
      </c>
    </row>
    <row r="92" spans="1:6">
      <c r="A92" s="254" t="s">
        <v>586</v>
      </c>
      <c r="B92" s="255">
        <v>2268</v>
      </c>
      <c r="C92" s="254" t="s">
        <v>506</v>
      </c>
      <c r="D92" s="254" t="s">
        <v>483</v>
      </c>
      <c r="E92" s="254">
        <v>552</v>
      </c>
      <c r="F92" s="256" t="s">
        <v>456</v>
      </c>
    </row>
    <row r="93" spans="1:6">
      <c r="A93" s="254" t="s">
        <v>587</v>
      </c>
      <c r="B93" s="255">
        <v>1558</v>
      </c>
      <c r="C93" s="254" t="s">
        <v>473</v>
      </c>
      <c r="D93" s="254" t="s">
        <v>474</v>
      </c>
      <c r="E93" s="254">
        <v>525</v>
      </c>
      <c r="F93" s="256" t="s">
        <v>456</v>
      </c>
    </row>
    <row r="94" spans="1:6">
      <c r="A94" s="254" t="s">
        <v>588</v>
      </c>
      <c r="B94" s="255">
        <v>1456</v>
      </c>
      <c r="C94" s="254" t="s">
        <v>496</v>
      </c>
      <c r="D94" s="254" t="s">
        <v>497</v>
      </c>
      <c r="E94" s="254">
        <v>315</v>
      </c>
      <c r="F94" s="256" t="s">
        <v>457</v>
      </c>
    </row>
    <row r="95" spans="1:6">
      <c r="A95" s="254" t="s">
        <v>589</v>
      </c>
      <c r="B95" s="255">
        <v>177</v>
      </c>
      <c r="C95" s="254" t="s">
        <v>473</v>
      </c>
      <c r="D95" s="254" t="s">
        <v>474</v>
      </c>
      <c r="E95" s="254">
        <v>481</v>
      </c>
      <c r="F95" s="256" t="s">
        <v>456</v>
      </c>
    </row>
    <row r="96" spans="1:6">
      <c r="A96" s="254" t="s">
        <v>590</v>
      </c>
      <c r="B96" s="255">
        <v>183</v>
      </c>
      <c r="C96" s="254" t="s">
        <v>502</v>
      </c>
      <c r="D96" s="254" t="s">
        <v>503</v>
      </c>
      <c r="E96" s="254">
        <v>502</v>
      </c>
      <c r="F96" s="256" t="s">
        <v>456</v>
      </c>
    </row>
    <row r="97" spans="1:6">
      <c r="A97" s="254" t="s">
        <v>591</v>
      </c>
      <c r="B97" s="255">
        <v>47593</v>
      </c>
      <c r="C97" s="254" t="s">
        <v>470</v>
      </c>
      <c r="D97" s="254" t="s">
        <v>471</v>
      </c>
      <c r="E97" s="254">
        <v>9</v>
      </c>
      <c r="F97" s="256" t="s">
        <v>453</v>
      </c>
    </row>
    <row r="98" spans="1:6">
      <c r="A98" s="254" t="s">
        <v>592</v>
      </c>
      <c r="B98" s="255">
        <v>7953</v>
      </c>
      <c r="C98" s="254" t="s">
        <v>496</v>
      </c>
      <c r="D98" s="254" t="s">
        <v>497</v>
      </c>
      <c r="E98" s="254">
        <v>196</v>
      </c>
      <c r="F98" s="256" t="s">
        <v>453</v>
      </c>
    </row>
    <row r="99" spans="1:6">
      <c r="A99" s="254" t="s">
        <v>593</v>
      </c>
      <c r="B99" s="255">
        <v>4980</v>
      </c>
      <c r="C99" s="254" t="s">
        <v>492</v>
      </c>
      <c r="D99" s="254" t="s">
        <v>493</v>
      </c>
      <c r="E99" s="254">
        <v>469</v>
      </c>
      <c r="F99" s="256" t="s">
        <v>456</v>
      </c>
    </row>
    <row r="100" spans="1:6">
      <c r="A100" s="254" t="s">
        <v>594</v>
      </c>
      <c r="B100" s="255">
        <v>27</v>
      </c>
      <c r="C100" s="254" t="s">
        <v>492</v>
      </c>
      <c r="D100" s="254" t="s">
        <v>493</v>
      </c>
      <c r="E100" s="254">
        <v>1339</v>
      </c>
      <c r="F100" s="256" t="s">
        <v>459</v>
      </c>
    </row>
    <row r="101" spans="1:6">
      <c r="A101" s="254" t="s">
        <v>595</v>
      </c>
      <c r="B101" s="255">
        <v>93</v>
      </c>
      <c r="C101" s="254" t="s">
        <v>520</v>
      </c>
      <c r="D101" s="254" t="s">
        <v>521</v>
      </c>
      <c r="E101" s="254">
        <v>768</v>
      </c>
      <c r="F101" s="256" t="s">
        <v>459</v>
      </c>
    </row>
    <row r="102" spans="1:6">
      <c r="A102" s="254" t="s">
        <v>596</v>
      </c>
      <c r="B102" s="255">
        <v>63092</v>
      </c>
      <c r="C102" s="254" t="s">
        <v>476</v>
      </c>
      <c r="D102" s="254" t="s">
        <v>477</v>
      </c>
      <c r="E102" s="254">
        <v>145</v>
      </c>
      <c r="F102" s="256" t="s">
        <v>453</v>
      </c>
    </row>
    <row r="103" spans="1:6">
      <c r="A103" s="254" t="s">
        <v>597</v>
      </c>
      <c r="B103" s="255">
        <v>1661</v>
      </c>
      <c r="C103" s="254" t="s">
        <v>476</v>
      </c>
      <c r="D103" s="254" t="s">
        <v>477</v>
      </c>
      <c r="E103" s="254">
        <v>177</v>
      </c>
      <c r="F103" s="256" t="s">
        <v>453</v>
      </c>
    </row>
    <row r="104" spans="1:6">
      <c r="A104" s="254" t="s">
        <v>598</v>
      </c>
      <c r="B104" s="255">
        <v>939</v>
      </c>
      <c r="C104" s="254" t="s">
        <v>492</v>
      </c>
      <c r="D104" s="254" t="s">
        <v>493</v>
      </c>
      <c r="E104" s="254">
        <v>720</v>
      </c>
      <c r="F104" s="256" t="s">
        <v>456</v>
      </c>
    </row>
    <row r="105" spans="1:6">
      <c r="A105" s="254" t="s">
        <v>599</v>
      </c>
      <c r="B105" s="255">
        <v>2697</v>
      </c>
      <c r="C105" s="254" t="s">
        <v>506</v>
      </c>
      <c r="D105" s="254" t="s">
        <v>483</v>
      </c>
      <c r="E105" s="254">
        <v>563</v>
      </c>
      <c r="F105" s="256" t="s">
        <v>456</v>
      </c>
    </row>
    <row r="106" spans="1:6">
      <c r="A106" s="254" t="s">
        <v>600</v>
      </c>
      <c r="B106" s="255">
        <v>41164</v>
      </c>
      <c r="C106" s="254" t="s">
        <v>487</v>
      </c>
      <c r="D106" s="254" t="s">
        <v>488</v>
      </c>
      <c r="E106" s="254">
        <v>316</v>
      </c>
      <c r="F106" s="256" t="s">
        <v>457</v>
      </c>
    </row>
    <row r="107" spans="1:6">
      <c r="A107" s="254" t="s">
        <v>601</v>
      </c>
      <c r="B107" s="255">
        <v>828</v>
      </c>
      <c r="C107" s="254" t="s">
        <v>487</v>
      </c>
      <c r="D107" s="254" t="s">
        <v>488</v>
      </c>
      <c r="E107" s="254">
        <v>380</v>
      </c>
      <c r="F107" s="256" t="s">
        <v>457</v>
      </c>
    </row>
    <row r="108" spans="1:6">
      <c r="A108" s="254" t="s">
        <v>602</v>
      </c>
      <c r="B108" s="255">
        <v>9296</v>
      </c>
      <c r="C108" s="254" t="s">
        <v>476</v>
      </c>
      <c r="D108" s="254" t="s">
        <v>477</v>
      </c>
      <c r="E108" s="254">
        <v>321</v>
      </c>
      <c r="F108" s="256" t="s">
        <v>457</v>
      </c>
    </row>
    <row r="109" spans="1:6">
      <c r="A109" s="254" t="s">
        <v>603</v>
      </c>
      <c r="B109" s="255">
        <v>266</v>
      </c>
      <c r="C109" s="254" t="s">
        <v>492</v>
      </c>
      <c r="D109" s="254" t="s">
        <v>493</v>
      </c>
      <c r="E109" s="254">
        <v>759</v>
      </c>
      <c r="F109" s="256" t="s">
        <v>459</v>
      </c>
    </row>
    <row r="110" spans="1:6">
      <c r="A110" s="254" t="s">
        <v>604</v>
      </c>
      <c r="B110" s="255">
        <v>2263</v>
      </c>
      <c r="C110" s="254" t="s">
        <v>506</v>
      </c>
      <c r="D110" s="254" t="s">
        <v>483</v>
      </c>
      <c r="E110" s="254">
        <v>693</v>
      </c>
      <c r="F110" s="256" t="s">
        <v>456</v>
      </c>
    </row>
    <row r="111" spans="1:6">
      <c r="A111" s="254" t="s">
        <v>605</v>
      </c>
      <c r="B111" s="255">
        <v>405</v>
      </c>
      <c r="C111" s="254" t="s">
        <v>520</v>
      </c>
      <c r="D111" s="254" t="s">
        <v>521</v>
      </c>
      <c r="E111" s="254">
        <v>870</v>
      </c>
      <c r="F111" s="256" t="s">
        <v>459</v>
      </c>
    </row>
    <row r="112" spans="1:6">
      <c r="A112" s="254" t="s">
        <v>606</v>
      </c>
      <c r="B112" s="255">
        <v>274455</v>
      </c>
      <c r="C112" s="254" t="s">
        <v>499</v>
      </c>
      <c r="D112" s="254" t="s">
        <v>500</v>
      </c>
      <c r="E112" s="254">
        <v>8</v>
      </c>
      <c r="F112" s="256" t="s">
        <v>453</v>
      </c>
    </row>
    <row r="113" spans="1:6">
      <c r="A113" s="254" t="s">
        <v>607</v>
      </c>
      <c r="B113" s="255">
        <v>17052</v>
      </c>
      <c r="C113" s="254" t="s">
        <v>476</v>
      </c>
      <c r="D113" s="254" t="s">
        <v>477</v>
      </c>
      <c r="E113" s="254">
        <v>252</v>
      </c>
      <c r="F113" s="256" t="s">
        <v>457</v>
      </c>
    </row>
    <row r="114" spans="1:6">
      <c r="A114" s="254" t="s">
        <v>608</v>
      </c>
      <c r="B114" s="255">
        <v>2218</v>
      </c>
      <c r="C114" s="254" t="s">
        <v>496</v>
      </c>
      <c r="D114" s="254" t="s">
        <v>497</v>
      </c>
      <c r="E114" s="254">
        <v>272</v>
      </c>
      <c r="F114" s="256" t="s">
        <v>457</v>
      </c>
    </row>
    <row r="115" spans="1:6">
      <c r="A115" s="254" t="s">
        <v>609</v>
      </c>
      <c r="B115" s="255">
        <v>952</v>
      </c>
      <c r="C115" s="254" t="s">
        <v>487</v>
      </c>
      <c r="D115" s="254" t="s">
        <v>488</v>
      </c>
      <c r="E115" s="254">
        <v>615</v>
      </c>
      <c r="F115" s="256" t="s">
        <v>456</v>
      </c>
    </row>
    <row r="116" spans="1:6">
      <c r="A116" s="254" t="s">
        <v>610</v>
      </c>
      <c r="B116" s="255">
        <v>13169</v>
      </c>
      <c r="C116" s="254" t="s">
        <v>476</v>
      </c>
      <c r="D116" s="254" t="s">
        <v>477</v>
      </c>
      <c r="E116" s="254">
        <v>45</v>
      </c>
      <c r="F116" s="256" t="s">
        <v>453</v>
      </c>
    </row>
    <row r="117" spans="1:6">
      <c r="A117" s="254" t="s">
        <v>611</v>
      </c>
      <c r="B117" s="255">
        <v>170</v>
      </c>
      <c r="C117" s="254" t="s">
        <v>492</v>
      </c>
      <c r="D117" s="254" t="s">
        <v>493</v>
      </c>
      <c r="E117" s="254">
        <v>876</v>
      </c>
      <c r="F117" s="256" t="s">
        <v>459</v>
      </c>
    </row>
    <row r="118" spans="1:6">
      <c r="A118" s="254" t="s">
        <v>612</v>
      </c>
      <c r="B118" s="255">
        <v>3040</v>
      </c>
      <c r="C118" s="254" t="s">
        <v>470</v>
      </c>
      <c r="D118" s="254" t="s">
        <v>471</v>
      </c>
      <c r="E118" s="254">
        <v>100</v>
      </c>
      <c r="F118" s="256" t="s">
        <v>453</v>
      </c>
    </row>
    <row r="119" spans="1:6">
      <c r="A119" s="254" t="s">
        <v>613</v>
      </c>
      <c r="B119" s="255">
        <v>2309</v>
      </c>
      <c r="C119" s="254" t="s">
        <v>487</v>
      </c>
      <c r="D119" s="254" t="s">
        <v>488</v>
      </c>
      <c r="E119" s="254">
        <v>246</v>
      </c>
      <c r="F119" s="256" t="s">
        <v>453</v>
      </c>
    </row>
    <row r="120" spans="1:6">
      <c r="A120" s="254" t="s">
        <v>614</v>
      </c>
      <c r="B120" s="255">
        <v>1089</v>
      </c>
      <c r="C120" s="254" t="s">
        <v>492</v>
      </c>
      <c r="D120" s="254" t="s">
        <v>493</v>
      </c>
      <c r="E120" s="254">
        <v>843</v>
      </c>
      <c r="F120" s="256" t="s">
        <v>459</v>
      </c>
    </row>
    <row r="121" spans="1:6">
      <c r="A121" s="254" t="s">
        <v>615</v>
      </c>
      <c r="B121" s="255">
        <v>40</v>
      </c>
      <c r="C121" s="254" t="s">
        <v>492</v>
      </c>
      <c r="D121" s="254" t="s">
        <v>493</v>
      </c>
      <c r="E121" s="254">
        <v>1061</v>
      </c>
      <c r="F121" s="256" t="s">
        <v>459</v>
      </c>
    </row>
    <row r="122" spans="1:6">
      <c r="A122" s="254" t="s">
        <v>616</v>
      </c>
      <c r="B122" s="255">
        <v>10913</v>
      </c>
      <c r="C122" s="254" t="s">
        <v>476</v>
      </c>
      <c r="D122" s="254" t="s">
        <v>477</v>
      </c>
      <c r="E122" s="254">
        <v>123</v>
      </c>
      <c r="F122" s="256" t="s">
        <v>453</v>
      </c>
    </row>
    <row r="123" spans="1:6">
      <c r="A123" s="254" t="s">
        <v>617</v>
      </c>
      <c r="B123" s="255">
        <v>4018</v>
      </c>
      <c r="C123" s="254" t="s">
        <v>487</v>
      </c>
      <c r="D123" s="254" t="s">
        <v>488</v>
      </c>
      <c r="E123" s="254">
        <v>363</v>
      </c>
      <c r="F123" s="256" t="s">
        <v>457</v>
      </c>
    </row>
    <row r="124" spans="1:6">
      <c r="A124" s="254" t="s">
        <v>618</v>
      </c>
      <c r="B124" s="255">
        <v>998</v>
      </c>
      <c r="C124" s="254" t="s">
        <v>496</v>
      </c>
      <c r="D124" s="254" t="s">
        <v>497</v>
      </c>
      <c r="E124" s="254">
        <v>252</v>
      </c>
      <c r="F124" s="256" t="s">
        <v>457</v>
      </c>
    </row>
    <row r="125" spans="1:6">
      <c r="A125" s="254" t="s">
        <v>619</v>
      </c>
      <c r="B125" s="255">
        <v>20522</v>
      </c>
      <c r="C125" s="254" t="s">
        <v>476</v>
      </c>
      <c r="D125" s="254" t="s">
        <v>477</v>
      </c>
      <c r="E125" s="254">
        <v>232</v>
      </c>
      <c r="F125" s="256" t="s">
        <v>453</v>
      </c>
    </row>
    <row r="126" spans="1:6">
      <c r="A126" s="254" t="s">
        <v>620</v>
      </c>
      <c r="B126" s="255">
        <v>751</v>
      </c>
      <c r="C126" s="254" t="s">
        <v>506</v>
      </c>
      <c r="D126" s="254" t="s">
        <v>483</v>
      </c>
      <c r="E126" s="254">
        <v>516</v>
      </c>
      <c r="F126" s="256" t="s">
        <v>456</v>
      </c>
    </row>
    <row r="127" spans="1:6">
      <c r="A127" s="254" t="s">
        <v>621</v>
      </c>
      <c r="B127" s="255">
        <v>3222</v>
      </c>
      <c r="C127" s="254" t="s">
        <v>506</v>
      </c>
      <c r="D127" s="254" t="s">
        <v>483</v>
      </c>
      <c r="E127" s="254">
        <v>533</v>
      </c>
      <c r="F127" s="256" t="s">
        <v>456</v>
      </c>
    </row>
    <row r="128" spans="1:6">
      <c r="A128" s="254" t="s">
        <v>622</v>
      </c>
      <c r="B128" s="255">
        <v>16092</v>
      </c>
      <c r="C128" s="254" t="s">
        <v>476</v>
      </c>
      <c r="D128" s="254" t="s">
        <v>477</v>
      </c>
      <c r="E128" s="254">
        <v>145</v>
      </c>
      <c r="F128" s="256" t="s">
        <v>453</v>
      </c>
    </row>
    <row r="129" spans="1:6">
      <c r="A129" s="254" t="s">
        <v>623</v>
      </c>
      <c r="B129" s="255">
        <v>6714</v>
      </c>
      <c r="C129" s="254" t="s">
        <v>476</v>
      </c>
      <c r="D129" s="254" t="s">
        <v>477</v>
      </c>
      <c r="E129" s="254">
        <v>125</v>
      </c>
      <c r="F129" s="256" t="s">
        <v>453</v>
      </c>
    </row>
    <row r="130" spans="1:6">
      <c r="A130" s="254" t="s">
        <v>624</v>
      </c>
      <c r="B130" s="255">
        <v>10499</v>
      </c>
      <c r="C130" s="254" t="s">
        <v>476</v>
      </c>
      <c r="D130" s="254" t="s">
        <v>477</v>
      </c>
      <c r="E130" s="254">
        <v>198</v>
      </c>
      <c r="F130" s="256" t="s">
        <v>453</v>
      </c>
    </row>
    <row r="131" spans="1:6">
      <c r="A131" s="254" t="s">
        <v>625</v>
      </c>
      <c r="B131" s="255">
        <v>292</v>
      </c>
      <c r="C131" s="254" t="s">
        <v>482</v>
      </c>
      <c r="D131" s="254" t="s">
        <v>483</v>
      </c>
      <c r="E131" s="254">
        <v>751</v>
      </c>
      <c r="F131" s="256" t="s">
        <v>459</v>
      </c>
    </row>
    <row r="132" spans="1:6">
      <c r="A132" s="254" t="s">
        <v>626</v>
      </c>
      <c r="B132" s="255">
        <v>19213</v>
      </c>
      <c r="C132" s="254" t="s">
        <v>479</v>
      </c>
      <c r="D132" s="254" t="s">
        <v>480</v>
      </c>
      <c r="E132" s="254">
        <v>4</v>
      </c>
      <c r="F132" s="256" t="s">
        <v>453</v>
      </c>
    </row>
    <row r="133" spans="1:6">
      <c r="A133" s="254" t="s">
        <v>627</v>
      </c>
      <c r="B133" s="255">
        <v>266</v>
      </c>
      <c r="C133" s="254" t="s">
        <v>506</v>
      </c>
      <c r="D133" s="254" t="s">
        <v>483</v>
      </c>
      <c r="E133" s="254">
        <v>580</v>
      </c>
      <c r="F133" s="256" t="s">
        <v>456</v>
      </c>
    </row>
    <row r="134" spans="1:6">
      <c r="A134" s="254" t="s">
        <v>628</v>
      </c>
      <c r="B134" s="255">
        <v>21172</v>
      </c>
      <c r="C134" s="254" t="s">
        <v>506</v>
      </c>
      <c r="D134" s="254" t="s">
        <v>483</v>
      </c>
      <c r="E134" s="254">
        <v>461</v>
      </c>
      <c r="F134" s="256" t="s">
        <v>456</v>
      </c>
    </row>
    <row r="135" spans="1:6">
      <c r="A135" s="254" t="s">
        <v>629</v>
      </c>
      <c r="B135" s="255">
        <v>78877</v>
      </c>
      <c r="C135" s="254" t="s">
        <v>473</v>
      </c>
      <c r="D135" s="254" t="s">
        <v>474</v>
      </c>
      <c r="E135" s="254">
        <v>238</v>
      </c>
      <c r="F135" s="256" t="s">
        <v>453</v>
      </c>
    </row>
    <row r="136" spans="1:6">
      <c r="A136" s="254" t="s">
        <v>630</v>
      </c>
      <c r="B136" s="255">
        <v>293</v>
      </c>
      <c r="C136" s="254" t="s">
        <v>473</v>
      </c>
      <c r="D136" s="254" t="s">
        <v>474</v>
      </c>
      <c r="E136" s="254">
        <v>679</v>
      </c>
      <c r="F136" s="256" t="s">
        <v>456</v>
      </c>
    </row>
    <row r="137" spans="1:6">
      <c r="A137" s="254" t="s">
        <v>631</v>
      </c>
      <c r="B137" s="255">
        <v>28760</v>
      </c>
      <c r="C137" s="254" t="s">
        <v>470</v>
      </c>
      <c r="D137" s="254" t="s">
        <v>471</v>
      </c>
      <c r="E137" s="254">
        <v>56</v>
      </c>
      <c r="F137" s="256" t="s">
        <v>453</v>
      </c>
    </row>
    <row r="138" spans="1:6">
      <c r="A138" s="254" t="s">
        <v>632</v>
      </c>
      <c r="B138" s="255">
        <v>4904</v>
      </c>
      <c r="C138" s="254" t="s">
        <v>476</v>
      </c>
      <c r="D138" s="254" t="s">
        <v>477</v>
      </c>
      <c r="E138" s="254">
        <v>96</v>
      </c>
      <c r="F138" s="256" t="s">
        <v>453</v>
      </c>
    </row>
    <row r="139" spans="1:6">
      <c r="A139" s="254" t="s">
        <v>633</v>
      </c>
      <c r="B139" s="255">
        <v>9839</v>
      </c>
      <c r="C139" s="254" t="s">
        <v>487</v>
      </c>
      <c r="D139" s="254" t="s">
        <v>488</v>
      </c>
      <c r="E139" s="254">
        <v>257</v>
      </c>
      <c r="F139" s="256" t="s">
        <v>457</v>
      </c>
    </row>
    <row r="140" spans="1:6">
      <c r="A140" s="254" t="s">
        <v>634</v>
      </c>
      <c r="B140" s="255">
        <v>9899</v>
      </c>
      <c r="C140" s="254" t="s">
        <v>502</v>
      </c>
      <c r="D140" s="254" t="s">
        <v>503</v>
      </c>
      <c r="E140" s="254">
        <v>423</v>
      </c>
      <c r="F140" s="256" t="s">
        <v>457</v>
      </c>
    </row>
    <row r="141" spans="1:6">
      <c r="A141" s="254" t="s">
        <v>635</v>
      </c>
      <c r="B141" s="255">
        <v>129870</v>
      </c>
      <c r="C141" s="254" t="s">
        <v>479</v>
      </c>
      <c r="D141" s="254" t="s">
        <v>480</v>
      </c>
      <c r="E141" s="254">
        <v>28</v>
      </c>
      <c r="F141" s="256" t="s">
        <v>453</v>
      </c>
    </row>
    <row r="142" spans="1:6">
      <c r="A142" s="254" t="s">
        <v>636</v>
      </c>
      <c r="B142" s="255">
        <v>2628</v>
      </c>
      <c r="C142" s="254" t="s">
        <v>496</v>
      </c>
      <c r="D142" s="254" t="s">
        <v>497</v>
      </c>
      <c r="E142" s="254">
        <v>430</v>
      </c>
      <c r="F142" s="256" t="s">
        <v>457</v>
      </c>
    </row>
    <row r="143" spans="1:6">
      <c r="A143" s="254" t="s">
        <v>637</v>
      </c>
      <c r="B143" s="255">
        <v>6690</v>
      </c>
      <c r="C143" s="254" t="s">
        <v>520</v>
      </c>
      <c r="D143" s="254" t="s">
        <v>521</v>
      </c>
      <c r="E143" s="254">
        <v>717</v>
      </c>
      <c r="F143" s="256" t="s">
        <v>456</v>
      </c>
    </row>
    <row r="144" spans="1:6">
      <c r="A144" s="254" t="s">
        <v>638</v>
      </c>
      <c r="B144" s="255">
        <v>26555</v>
      </c>
      <c r="C144" s="254" t="s">
        <v>470</v>
      </c>
      <c r="D144" s="254" t="s">
        <v>471</v>
      </c>
      <c r="E144" s="254">
        <v>37</v>
      </c>
      <c r="F144" s="256" t="s">
        <v>453</v>
      </c>
    </row>
    <row r="145" spans="1:6">
      <c r="A145" s="254" t="s">
        <v>639</v>
      </c>
      <c r="B145" s="255">
        <v>51824</v>
      </c>
      <c r="C145" s="254" t="s">
        <v>476</v>
      </c>
      <c r="D145" s="254" t="s">
        <v>477</v>
      </c>
      <c r="E145" s="254">
        <v>65</v>
      </c>
      <c r="F145" s="256" t="s">
        <v>453</v>
      </c>
    </row>
    <row r="146" spans="1:6">
      <c r="A146" s="254" t="s">
        <v>640</v>
      </c>
      <c r="B146" s="255">
        <v>751</v>
      </c>
      <c r="C146" s="254" t="s">
        <v>520</v>
      </c>
      <c r="D146" s="254" t="s">
        <v>521</v>
      </c>
      <c r="E146" s="254">
        <v>447</v>
      </c>
      <c r="F146" s="256" t="s">
        <v>457</v>
      </c>
    </row>
    <row r="147" spans="1:6">
      <c r="A147" s="254" t="s">
        <v>641</v>
      </c>
      <c r="B147" s="255">
        <v>3179</v>
      </c>
      <c r="C147" s="254" t="s">
        <v>473</v>
      </c>
      <c r="D147" s="254" t="s">
        <v>474</v>
      </c>
      <c r="E147" s="254">
        <v>161</v>
      </c>
      <c r="F147" s="256" t="s">
        <v>453</v>
      </c>
    </row>
    <row r="148" spans="1:6">
      <c r="A148" s="254" t="s">
        <v>642</v>
      </c>
      <c r="B148" s="255">
        <v>36891</v>
      </c>
      <c r="C148" s="254" t="s">
        <v>502</v>
      </c>
      <c r="D148" s="254" t="s">
        <v>503</v>
      </c>
      <c r="E148" s="254">
        <v>36</v>
      </c>
      <c r="F148" s="256" t="s">
        <v>453</v>
      </c>
    </row>
    <row r="149" spans="1:6">
      <c r="A149" s="254" t="s">
        <v>643</v>
      </c>
      <c r="B149" s="255">
        <v>129</v>
      </c>
      <c r="C149" s="254" t="s">
        <v>492</v>
      </c>
      <c r="D149" s="254" t="s">
        <v>493</v>
      </c>
      <c r="E149" s="254">
        <v>728</v>
      </c>
      <c r="F149" s="256" t="s">
        <v>456</v>
      </c>
    </row>
    <row r="150" spans="1:6">
      <c r="A150" s="254" t="s">
        <v>644</v>
      </c>
      <c r="B150" s="255">
        <v>1110</v>
      </c>
      <c r="C150" s="254" t="s">
        <v>506</v>
      </c>
      <c r="D150" s="254" t="s">
        <v>483</v>
      </c>
      <c r="E150" s="254">
        <v>728</v>
      </c>
      <c r="F150" s="256" t="s">
        <v>456</v>
      </c>
    </row>
    <row r="151" spans="1:6">
      <c r="A151" s="254" t="s">
        <v>645</v>
      </c>
      <c r="B151" s="255">
        <v>12462</v>
      </c>
      <c r="C151" s="254" t="s">
        <v>479</v>
      </c>
      <c r="D151" s="254" t="s">
        <v>480</v>
      </c>
      <c r="E151" s="254">
        <v>20</v>
      </c>
      <c r="F151" s="256" t="s">
        <v>453</v>
      </c>
    </row>
    <row r="152" spans="1:6">
      <c r="A152" s="254" t="s">
        <v>646</v>
      </c>
      <c r="B152" s="255">
        <v>482</v>
      </c>
      <c r="C152" s="254" t="s">
        <v>492</v>
      </c>
      <c r="D152" s="254" t="s">
        <v>493</v>
      </c>
      <c r="E152" s="254">
        <v>756</v>
      </c>
      <c r="F152" s="256" t="s">
        <v>459</v>
      </c>
    </row>
    <row r="153" spans="1:6">
      <c r="A153" s="254" t="s">
        <v>647</v>
      </c>
      <c r="B153" s="255">
        <v>198</v>
      </c>
      <c r="C153" s="254" t="s">
        <v>487</v>
      </c>
      <c r="D153" s="254" t="s">
        <v>488</v>
      </c>
      <c r="E153" s="254">
        <v>709</v>
      </c>
      <c r="F153" s="256" t="s">
        <v>456</v>
      </c>
    </row>
    <row r="154" spans="1:6">
      <c r="A154" s="254" t="s">
        <v>648</v>
      </c>
      <c r="B154" s="255">
        <v>8825</v>
      </c>
      <c r="C154" s="254" t="s">
        <v>476</v>
      </c>
      <c r="D154" s="254" t="s">
        <v>477</v>
      </c>
      <c r="E154" s="254">
        <v>72</v>
      </c>
      <c r="F154" s="256" t="s">
        <v>453</v>
      </c>
    </row>
    <row r="155" spans="1:6">
      <c r="A155" s="254" t="s">
        <v>649</v>
      </c>
      <c r="B155" s="255">
        <v>16800</v>
      </c>
      <c r="C155" s="254" t="s">
        <v>476</v>
      </c>
      <c r="D155" s="254" t="s">
        <v>477</v>
      </c>
      <c r="E155" s="254">
        <v>116</v>
      </c>
      <c r="F155" s="256" t="s">
        <v>453</v>
      </c>
    </row>
    <row r="156" spans="1:6">
      <c r="A156" s="254" t="s">
        <v>650</v>
      </c>
      <c r="B156" s="255">
        <v>379</v>
      </c>
      <c r="C156" s="254" t="s">
        <v>476</v>
      </c>
      <c r="D156" s="254" t="s">
        <v>477</v>
      </c>
      <c r="E156" s="254">
        <v>528</v>
      </c>
      <c r="F156" s="256" t="s">
        <v>456</v>
      </c>
    </row>
    <row r="157" spans="1:6">
      <c r="A157" s="254" t="s">
        <v>651</v>
      </c>
      <c r="B157" s="255">
        <v>721</v>
      </c>
      <c r="C157" s="254" t="s">
        <v>506</v>
      </c>
      <c r="D157" s="254" t="s">
        <v>483</v>
      </c>
      <c r="E157" s="254">
        <v>807</v>
      </c>
      <c r="F157" s="256" t="s">
        <v>459</v>
      </c>
    </row>
    <row r="158" spans="1:6">
      <c r="A158" s="254" t="s">
        <v>652</v>
      </c>
      <c r="B158" s="255">
        <v>228</v>
      </c>
      <c r="C158" s="254" t="s">
        <v>473</v>
      </c>
      <c r="D158" s="254" t="s">
        <v>474</v>
      </c>
      <c r="E158" s="254">
        <v>454</v>
      </c>
      <c r="F158" s="256" t="s">
        <v>456</v>
      </c>
    </row>
    <row r="159" spans="1:6">
      <c r="A159" s="254" t="s">
        <v>653</v>
      </c>
      <c r="B159" s="255">
        <v>6109</v>
      </c>
      <c r="C159" s="254" t="s">
        <v>473</v>
      </c>
      <c r="D159" s="254" t="s">
        <v>474</v>
      </c>
      <c r="E159" s="254">
        <v>269</v>
      </c>
      <c r="F159" s="256" t="s">
        <v>457</v>
      </c>
    </row>
    <row r="160" spans="1:6">
      <c r="A160" s="254" t="s">
        <v>654</v>
      </c>
      <c r="B160" s="255">
        <v>6150</v>
      </c>
      <c r="C160" s="254" t="s">
        <v>473</v>
      </c>
      <c r="D160" s="254" t="s">
        <v>474</v>
      </c>
      <c r="E160" s="254">
        <v>681</v>
      </c>
      <c r="F160" s="256" t="s">
        <v>456</v>
      </c>
    </row>
    <row r="161" spans="1:6">
      <c r="A161" s="254" t="s">
        <v>655</v>
      </c>
      <c r="B161" s="255">
        <v>3720</v>
      </c>
      <c r="C161" s="254" t="s">
        <v>487</v>
      </c>
      <c r="D161" s="254" t="s">
        <v>488</v>
      </c>
      <c r="E161" s="254">
        <v>421</v>
      </c>
      <c r="F161" s="256" t="s">
        <v>457</v>
      </c>
    </row>
    <row r="162" spans="1:6">
      <c r="A162" s="254" t="s">
        <v>656</v>
      </c>
      <c r="B162" s="255">
        <v>3968</v>
      </c>
      <c r="C162" s="254" t="s">
        <v>496</v>
      </c>
      <c r="D162" s="254" t="s">
        <v>497</v>
      </c>
      <c r="E162" s="254">
        <v>233</v>
      </c>
      <c r="F162" s="256" t="s">
        <v>453</v>
      </c>
    </row>
    <row r="163" spans="1:6">
      <c r="A163" s="254" t="s">
        <v>657</v>
      </c>
      <c r="B163" s="255">
        <v>2110</v>
      </c>
      <c r="C163" s="254" t="s">
        <v>496</v>
      </c>
      <c r="D163" s="254" t="s">
        <v>497</v>
      </c>
      <c r="E163" s="254">
        <v>265</v>
      </c>
      <c r="F163" s="256" t="s">
        <v>457</v>
      </c>
    </row>
    <row r="164" spans="1:6">
      <c r="A164" s="254" t="s">
        <v>658</v>
      </c>
      <c r="B164" s="255">
        <v>24446</v>
      </c>
      <c r="C164" s="254" t="s">
        <v>470</v>
      </c>
      <c r="D164" s="254" t="s">
        <v>471</v>
      </c>
      <c r="E164" s="254">
        <v>124</v>
      </c>
      <c r="F164" s="256" t="s">
        <v>453</v>
      </c>
    </row>
    <row r="165" spans="1:6">
      <c r="A165" s="254" t="s">
        <v>659</v>
      </c>
      <c r="B165" s="255">
        <v>4414</v>
      </c>
      <c r="C165" s="254" t="s">
        <v>533</v>
      </c>
      <c r="D165" s="254" t="s">
        <v>534</v>
      </c>
      <c r="E165" s="254">
        <v>211</v>
      </c>
      <c r="F165" s="256" t="s">
        <v>453</v>
      </c>
    </row>
    <row r="166" spans="1:6">
      <c r="A166" s="254" t="s">
        <v>660</v>
      </c>
      <c r="B166" s="255">
        <v>1218</v>
      </c>
      <c r="C166" s="254" t="s">
        <v>482</v>
      </c>
      <c r="D166" s="254" t="s">
        <v>483</v>
      </c>
      <c r="E166" s="254">
        <v>669</v>
      </c>
      <c r="F166" s="256" t="s">
        <v>456</v>
      </c>
    </row>
    <row r="167" spans="1:6">
      <c r="A167" s="254" t="s">
        <v>661</v>
      </c>
      <c r="B167" s="255">
        <v>890</v>
      </c>
      <c r="C167" s="254" t="s">
        <v>492</v>
      </c>
      <c r="D167" s="254" t="s">
        <v>493</v>
      </c>
      <c r="E167" s="254">
        <v>553</v>
      </c>
      <c r="F167" s="256" t="s">
        <v>456</v>
      </c>
    </row>
    <row r="168" spans="1:6">
      <c r="A168" s="254" t="s">
        <v>662</v>
      </c>
      <c r="B168" s="255">
        <v>355</v>
      </c>
      <c r="C168" s="254" t="s">
        <v>506</v>
      </c>
      <c r="D168" s="254" t="s">
        <v>483</v>
      </c>
      <c r="E168" s="254">
        <v>564</v>
      </c>
      <c r="F168" s="256" t="s">
        <v>456</v>
      </c>
    </row>
    <row r="169" spans="1:6">
      <c r="A169" s="254" t="s">
        <v>663</v>
      </c>
      <c r="B169" s="255">
        <v>587</v>
      </c>
      <c r="C169" s="254" t="s">
        <v>482</v>
      </c>
      <c r="D169" s="254" t="s">
        <v>483</v>
      </c>
      <c r="E169" s="254">
        <v>468</v>
      </c>
      <c r="F169" s="256" t="s">
        <v>456</v>
      </c>
    </row>
    <row r="170" spans="1:6">
      <c r="A170" s="254" t="s">
        <v>664</v>
      </c>
      <c r="B170" s="255">
        <v>163</v>
      </c>
      <c r="C170" s="254" t="s">
        <v>487</v>
      </c>
      <c r="D170" s="254" t="s">
        <v>488</v>
      </c>
      <c r="E170" s="254">
        <v>477</v>
      </c>
      <c r="F170" s="256" t="s">
        <v>456</v>
      </c>
    </row>
    <row r="171" spans="1:6">
      <c r="A171" s="254" t="s">
        <v>665</v>
      </c>
      <c r="B171" s="255">
        <v>799</v>
      </c>
      <c r="C171" s="254" t="s">
        <v>479</v>
      </c>
      <c r="D171" s="254" t="s">
        <v>480</v>
      </c>
      <c r="E171" s="254">
        <v>269</v>
      </c>
      <c r="F171" s="256" t="s">
        <v>457</v>
      </c>
    </row>
    <row r="172" spans="1:6">
      <c r="A172" s="254" t="s">
        <v>666</v>
      </c>
      <c r="B172" s="255">
        <v>909</v>
      </c>
      <c r="C172" s="254" t="s">
        <v>496</v>
      </c>
      <c r="D172" s="254" t="s">
        <v>497</v>
      </c>
      <c r="E172" s="254">
        <v>201</v>
      </c>
      <c r="F172" s="256" t="s">
        <v>453</v>
      </c>
    </row>
    <row r="173" spans="1:6">
      <c r="A173" s="254" t="s">
        <v>667</v>
      </c>
      <c r="B173" s="255">
        <v>9819</v>
      </c>
      <c r="C173" s="254" t="s">
        <v>479</v>
      </c>
      <c r="D173" s="254" t="s">
        <v>480</v>
      </c>
      <c r="E173" s="254">
        <v>16</v>
      </c>
      <c r="F173" s="256" t="s">
        <v>453</v>
      </c>
    </row>
    <row r="174" spans="1:6">
      <c r="A174" s="254" t="s">
        <v>668</v>
      </c>
      <c r="B174" s="255">
        <v>15130</v>
      </c>
      <c r="C174" s="254" t="s">
        <v>502</v>
      </c>
      <c r="D174" s="254" t="s">
        <v>503</v>
      </c>
      <c r="E174" s="254">
        <v>130</v>
      </c>
      <c r="F174" s="256" t="s">
        <v>453</v>
      </c>
    </row>
    <row r="175" spans="1:6">
      <c r="A175" s="254" t="s">
        <v>669</v>
      </c>
      <c r="B175" s="255">
        <v>11736</v>
      </c>
      <c r="C175" s="254" t="s">
        <v>470</v>
      </c>
      <c r="D175" s="254" t="s">
        <v>471</v>
      </c>
      <c r="E175" s="254">
        <v>87</v>
      </c>
      <c r="F175" s="256" t="s">
        <v>453</v>
      </c>
    </row>
    <row r="176" spans="1:6">
      <c r="A176" s="254" t="s">
        <v>670</v>
      </c>
      <c r="B176" s="255">
        <v>18893</v>
      </c>
      <c r="C176" s="254" t="s">
        <v>476</v>
      </c>
      <c r="D176" s="254" t="s">
        <v>477</v>
      </c>
      <c r="E176" s="254">
        <v>94</v>
      </c>
      <c r="F176" s="256" t="s">
        <v>453</v>
      </c>
    </row>
    <row r="177" spans="1:6">
      <c r="A177" s="254" t="s">
        <v>671</v>
      </c>
      <c r="B177" s="255">
        <v>423</v>
      </c>
      <c r="C177" s="254" t="s">
        <v>482</v>
      </c>
      <c r="D177" s="254" t="s">
        <v>483</v>
      </c>
      <c r="E177" s="254">
        <v>754</v>
      </c>
      <c r="F177" s="256" t="s">
        <v>459</v>
      </c>
    </row>
    <row r="178" spans="1:6">
      <c r="A178" s="254" t="s">
        <v>672</v>
      </c>
      <c r="B178" s="255">
        <v>17203</v>
      </c>
      <c r="C178" s="254" t="s">
        <v>487</v>
      </c>
      <c r="D178" s="254" t="s">
        <v>488</v>
      </c>
      <c r="E178" s="254">
        <v>324</v>
      </c>
      <c r="F178" s="256" t="s">
        <v>457</v>
      </c>
    </row>
    <row r="179" spans="1:6">
      <c r="A179" s="254" t="s">
        <v>673</v>
      </c>
      <c r="B179" s="255">
        <v>28751</v>
      </c>
      <c r="C179" s="254" t="s">
        <v>479</v>
      </c>
      <c r="D179" s="254" t="s">
        <v>480</v>
      </c>
      <c r="E179" s="254">
        <v>10</v>
      </c>
      <c r="F179" s="256" t="s">
        <v>453</v>
      </c>
    </row>
    <row r="180" spans="1:6">
      <c r="A180" s="254" t="s">
        <v>674</v>
      </c>
      <c r="B180" s="255">
        <v>8482</v>
      </c>
      <c r="C180" s="254" t="s">
        <v>502</v>
      </c>
      <c r="D180" s="254" t="s">
        <v>503</v>
      </c>
      <c r="E180" s="254">
        <v>158</v>
      </c>
      <c r="F180" s="256" t="s">
        <v>453</v>
      </c>
    </row>
    <row r="181" spans="1:6">
      <c r="A181" s="254" t="s">
        <v>675</v>
      </c>
      <c r="B181" s="255">
        <v>523</v>
      </c>
      <c r="C181" s="254" t="s">
        <v>496</v>
      </c>
      <c r="D181" s="254" t="s">
        <v>497</v>
      </c>
      <c r="E181" s="254">
        <v>632</v>
      </c>
      <c r="F181" s="256" t="s">
        <v>456</v>
      </c>
    </row>
    <row r="182" spans="1:6">
      <c r="A182" s="254" t="s">
        <v>676</v>
      </c>
      <c r="B182" s="255">
        <v>2681</v>
      </c>
      <c r="C182" s="254" t="s">
        <v>482</v>
      </c>
      <c r="D182" s="254" t="s">
        <v>483</v>
      </c>
      <c r="E182" s="254">
        <v>707</v>
      </c>
      <c r="F182" s="256" t="s">
        <v>456</v>
      </c>
    </row>
    <row r="183" spans="1:6">
      <c r="A183" s="254" t="s">
        <v>677</v>
      </c>
      <c r="B183" s="255">
        <v>10532</v>
      </c>
      <c r="C183" s="254" t="s">
        <v>479</v>
      </c>
      <c r="D183" s="254" t="s">
        <v>480</v>
      </c>
      <c r="E183" s="254">
        <v>142</v>
      </c>
      <c r="F183" s="256" t="s">
        <v>453</v>
      </c>
    </row>
    <row r="184" spans="1:6">
      <c r="A184" s="254" t="s">
        <v>678</v>
      </c>
      <c r="B184" s="255">
        <v>28767</v>
      </c>
      <c r="C184" s="254" t="s">
        <v>479</v>
      </c>
      <c r="D184" s="254" t="s">
        <v>480</v>
      </c>
      <c r="E184" s="254">
        <v>8</v>
      </c>
      <c r="F184" s="256" t="s">
        <v>453</v>
      </c>
    </row>
    <row r="185" spans="1:6">
      <c r="A185" s="254" t="s">
        <v>679</v>
      </c>
      <c r="B185" s="255">
        <v>571</v>
      </c>
      <c r="C185" s="254" t="s">
        <v>496</v>
      </c>
      <c r="D185" s="254" t="s">
        <v>497</v>
      </c>
      <c r="E185" s="254">
        <v>239</v>
      </c>
      <c r="F185" s="256" t="s">
        <v>453</v>
      </c>
    </row>
    <row r="186" spans="1:6">
      <c r="A186" s="254" t="s">
        <v>680</v>
      </c>
      <c r="B186" s="255">
        <v>4399</v>
      </c>
      <c r="C186" s="254" t="s">
        <v>492</v>
      </c>
      <c r="D186" s="254" t="s">
        <v>493</v>
      </c>
      <c r="E186" s="254">
        <v>455</v>
      </c>
      <c r="F186" s="256" t="s">
        <v>456</v>
      </c>
    </row>
    <row r="187" spans="1:6">
      <c r="A187" s="254" t="s">
        <v>681</v>
      </c>
      <c r="B187" s="255">
        <v>219</v>
      </c>
      <c r="C187" s="254" t="s">
        <v>487</v>
      </c>
      <c r="D187" s="254" t="s">
        <v>488</v>
      </c>
      <c r="E187" s="254">
        <v>770</v>
      </c>
      <c r="F187" s="256" t="s">
        <v>459</v>
      </c>
    </row>
    <row r="188" spans="1:6">
      <c r="A188" s="254" t="s">
        <v>682</v>
      </c>
      <c r="B188" s="255">
        <v>571</v>
      </c>
      <c r="C188" s="254" t="s">
        <v>473</v>
      </c>
      <c r="D188" s="254" t="s">
        <v>474</v>
      </c>
      <c r="E188" s="254">
        <v>405</v>
      </c>
      <c r="F188" s="256" t="s">
        <v>457</v>
      </c>
    </row>
    <row r="189" spans="1:6">
      <c r="A189" s="254" t="s">
        <v>683</v>
      </c>
      <c r="B189" s="255">
        <v>923</v>
      </c>
      <c r="C189" s="254" t="s">
        <v>502</v>
      </c>
      <c r="D189" s="254" t="s">
        <v>503</v>
      </c>
      <c r="E189" s="254">
        <v>322</v>
      </c>
      <c r="F189" s="256" t="s">
        <v>457</v>
      </c>
    </row>
    <row r="190" spans="1:6">
      <c r="A190" s="254" t="s">
        <v>684</v>
      </c>
      <c r="B190" s="255">
        <v>39269</v>
      </c>
      <c r="C190" s="254" t="s">
        <v>502</v>
      </c>
      <c r="D190" s="254" t="s">
        <v>503</v>
      </c>
      <c r="E190" s="254">
        <v>79</v>
      </c>
      <c r="F190" s="256" t="s">
        <v>453</v>
      </c>
    </row>
    <row r="191" spans="1:6">
      <c r="A191" s="254" t="s">
        <v>685</v>
      </c>
      <c r="B191" s="255">
        <v>6680</v>
      </c>
      <c r="C191" s="254" t="s">
        <v>506</v>
      </c>
      <c r="D191" s="254" t="s">
        <v>483</v>
      </c>
      <c r="E191" s="254">
        <v>443</v>
      </c>
      <c r="F191" s="256" t="s">
        <v>457</v>
      </c>
    </row>
    <row r="192" spans="1:6">
      <c r="A192" s="254" t="s">
        <v>686</v>
      </c>
      <c r="B192" s="255">
        <v>80044</v>
      </c>
      <c r="C192" s="254" t="s">
        <v>502</v>
      </c>
      <c r="D192" s="254" t="s">
        <v>503</v>
      </c>
      <c r="E192" s="254">
        <v>123</v>
      </c>
      <c r="F192" s="256" t="s">
        <v>453</v>
      </c>
    </row>
    <row r="193" spans="1:6">
      <c r="A193" s="254" t="s">
        <v>687</v>
      </c>
      <c r="B193" s="255">
        <v>254</v>
      </c>
      <c r="C193" s="254" t="s">
        <v>487</v>
      </c>
      <c r="D193" s="254" t="s">
        <v>488</v>
      </c>
      <c r="E193" s="254">
        <v>629</v>
      </c>
      <c r="F193" s="256" t="s">
        <v>456</v>
      </c>
    </row>
    <row r="194" spans="1:6">
      <c r="A194" s="254" t="s">
        <v>688</v>
      </c>
      <c r="B194" s="255">
        <v>277</v>
      </c>
      <c r="C194" s="254" t="s">
        <v>506</v>
      </c>
      <c r="D194" s="254" t="s">
        <v>483</v>
      </c>
      <c r="E194" s="254">
        <v>822</v>
      </c>
      <c r="F194" s="256" t="s">
        <v>459</v>
      </c>
    </row>
    <row r="195" spans="1:6">
      <c r="A195" s="254" t="s">
        <v>689</v>
      </c>
      <c r="B195" s="255">
        <v>218300</v>
      </c>
      <c r="C195" s="254" t="s">
        <v>502</v>
      </c>
      <c r="D195" s="254" t="s">
        <v>503</v>
      </c>
      <c r="E195" s="254">
        <v>190</v>
      </c>
      <c r="F195" s="256" t="s">
        <v>453</v>
      </c>
    </row>
    <row r="196" spans="1:6">
      <c r="A196" s="254" t="s">
        <v>690</v>
      </c>
      <c r="B196" s="255">
        <v>151</v>
      </c>
      <c r="C196" s="254" t="s">
        <v>492</v>
      </c>
      <c r="D196" s="254" t="s">
        <v>493</v>
      </c>
      <c r="E196" s="254">
        <v>738</v>
      </c>
      <c r="F196" s="256" t="s">
        <v>456</v>
      </c>
    </row>
    <row r="197" spans="1:6">
      <c r="A197" s="254" t="s">
        <v>691</v>
      </c>
      <c r="B197" s="255">
        <v>303</v>
      </c>
      <c r="C197" s="254" t="s">
        <v>492</v>
      </c>
      <c r="D197" s="254" t="s">
        <v>493</v>
      </c>
      <c r="E197" s="254">
        <v>1215</v>
      </c>
      <c r="F197" s="256" t="s">
        <v>459</v>
      </c>
    </row>
    <row r="198" spans="1:6">
      <c r="A198" s="254" t="s">
        <v>692</v>
      </c>
      <c r="B198" s="255">
        <v>6835</v>
      </c>
      <c r="C198" s="254" t="s">
        <v>473</v>
      </c>
      <c r="D198" s="254" t="s">
        <v>474</v>
      </c>
      <c r="E198" s="254">
        <v>275</v>
      </c>
      <c r="F198" s="256" t="s">
        <v>457</v>
      </c>
    </row>
    <row r="199" spans="1:6">
      <c r="A199" s="254" t="s">
        <v>693</v>
      </c>
      <c r="B199" s="255">
        <v>37925</v>
      </c>
      <c r="C199" s="254" t="s">
        <v>499</v>
      </c>
      <c r="D199" s="254" t="s">
        <v>500</v>
      </c>
      <c r="E199" s="254">
        <v>14</v>
      </c>
      <c r="F199" s="256" t="s">
        <v>453</v>
      </c>
    </row>
    <row r="200" spans="1:6">
      <c r="A200" s="254" t="s">
        <v>694</v>
      </c>
      <c r="B200" s="255">
        <v>109</v>
      </c>
      <c r="C200" s="254" t="s">
        <v>506</v>
      </c>
      <c r="D200" s="254" t="s">
        <v>483</v>
      </c>
      <c r="E200" s="254">
        <v>816</v>
      </c>
      <c r="F200" s="256" t="s">
        <v>459</v>
      </c>
    </row>
    <row r="201" spans="1:6">
      <c r="A201" s="254" t="s">
        <v>695</v>
      </c>
      <c r="B201" s="255">
        <v>26910</v>
      </c>
      <c r="C201" s="254" t="s">
        <v>470</v>
      </c>
      <c r="D201" s="254" t="s">
        <v>471</v>
      </c>
      <c r="E201" s="254">
        <v>42</v>
      </c>
      <c r="F201" s="256" t="s">
        <v>453</v>
      </c>
    </row>
    <row r="202" spans="1:6">
      <c r="A202" s="254" t="s">
        <v>696</v>
      </c>
      <c r="B202" s="255">
        <v>11831</v>
      </c>
      <c r="C202" s="254" t="s">
        <v>479</v>
      </c>
      <c r="D202" s="254" t="s">
        <v>480</v>
      </c>
      <c r="E202" s="254">
        <v>125</v>
      </c>
      <c r="F202" s="256" t="s">
        <v>453</v>
      </c>
    </row>
    <row r="203" spans="1:6">
      <c r="A203" s="254" t="s">
        <v>697</v>
      </c>
      <c r="B203" s="255">
        <v>6577</v>
      </c>
      <c r="C203" s="254" t="s">
        <v>476</v>
      </c>
      <c r="D203" s="254" t="s">
        <v>477</v>
      </c>
      <c r="E203" s="254">
        <v>258</v>
      </c>
      <c r="F203" s="256" t="s">
        <v>457</v>
      </c>
    </row>
    <row r="204" spans="1:6">
      <c r="A204" s="254" t="s">
        <v>698</v>
      </c>
      <c r="B204" s="255">
        <v>945</v>
      </c>
      <c r="C204" s="254" t="s">
        <v>506</v>
      </c>
      <c r="D204" s="254" t="s">
        <v>483</v>
      </c>
      <c r="E204" s="254">
        <v>867</v>
      </c>
      <c r="F204" s="256" t="s">
        <v>459</v>
      </c>
    </row>
    <row r="205" spans="1:6">
      <c r="A205" s="254" t="s">
        <v>699</v>
      </c>
      <c r="B205" s="255">
        <v>83919</v>
      </c>
      <c r="C205" s="254" t="s">
        <v>470</v>
      </c>
      <c r="D205" s="254" t="s">
        <v>471</v>
      </c>
      <c r="E205" s="254">
        <v>30</v>
      </c>
      <c r="F205" s="256" t="s">
        <v>453</v>
      </c>
    </row>
    <row r="206" spans="1:6">
      <c r="A206" s="254" t="s">
        <v>700</v>
      </c>
      <c r="B206" s="255">
        <v>572</v>
      </c>
      <c r="C206" s="254" t="s">
        <v>506</v>
      </c>
      <c r="D206" s="254" t="s">
        <v>483</v>
      </c>
      <c r="E206" s="254">
        <v>810</v>
      </c>
      <c r="F206" s="256" t="s">
        <v>459</v>
      </c>
    </row>
    <row r="207" spans="1:6">
      <c r="A207" s="254" t="s">
        <v>701</v>
      </c>
      <c r="B207" s="255">
        <v>3792</v>
      </c>
      <c r="C207" s="254" t="s">
        <v>479</v>
      </c>
      <c r="D207" s="254" t="s">
        <v>480</v>
      </c>
      <c r="E207" s="254">
        <v>71</v>
      </c>
      <c r="F207" s="256" t="s">
        <v>453</v>
      </c>
    </row>
    <row r="208" spans="1:6">
      <c r="A208" s="254" t="s">
        <v>702</v>
      </c>
      <c r="B208" s="255">
        <v>18479</v>
      </c>
      <c r="C208" s="254" t="s">
        <v>476</v>
      </c>
      <c r="D208" s="254" t="s">
        <v>477</v>
      </c>
      <c r="E208" s="254">
        <v>152</v>
      </c>
      <c r="F208" s="256" t="s">
        <v>453</v>
      </c>
    </row>
    <row r="209" spans="1:6">
      <c r="A209" s="254" t="s">
        <v>703</v>
      </c>
      <c r="B209" s="255">
        <v>4190</v>
      </c>
      <c r="C209" s="254" t="s">
        <v>470</v>
      </c>
      <c r="D209" s="254" t="s">
        <v>471</v>
      </c>
      <c r="E209" s="254">
        <v>87</v>
      </c>
      <c r="F209" s="256" t="s">
        <v>453</v>
      </c>
    </row>
    <row r="210" spans="1:6">
      <c r="A210" s="254" t="s">
        <v>704</v>
      </c>
      <c r="B210" s="255">
        <v>97530</v>
      </c>
      <c r="C210" s="254" t="s">
        <v>502</v>
      </c>
      <c r="D210" s="254" t="s">
        <v>503</v>
      </c>
      <c r="E210" s="254">
        <v>124</v>
      </c>
      <c r="F210" s="256" t="s">
        <v>453</v>
      </c>
    </row>
    <row r="211" spans="1:6">
      <c r="A211" s="254" t="s">
        <v>705</v>
      </c>
      <c r="B211" s="255">
        <v>1026</v>
      </c>
      <c r="C211" s="254" t="s">
        <v>496</v>
      </c>
      <c r="D211" s="254" t="s">
        <v>497</v>
      </c>
      <c r="E211" s="254">
        <v>266</v>
      </c>
      <c r="F211" s="256" t="s">
        <v>457</v>
      </c>
    </row>
    <row r="212" spans="1:6">
      <c r="A212" s="254" t="s">
        <v>706</v>
      </c>
      <c r="B212" s="255">
        <v>3045</v>
      </c>
      <c r="C212" s="254" t="s">
        <v>476</v>
      </c>
      <c r="D212" s="254" t="s">
        <v>477</v>
      </c>
      <c r="E212" s="254">
        <v>231</v>
      </c>
      <c r="F212" s="256" t="s">
        <v>453</v>
      </c>
    </row>
    <row r="213" spans="1:6">
      <c r="A213" s="254" t="s">
        <v>707</v>
      </c>
      <c r="B213" s="255">
        <v>7906</v>
      </c>
      <c r="C213" s="254" t="s">
        <v>470</v>
      </c>
      <c r="D213" s="254" t="s">
        <v>471</v>
      </c>
      <c r="E213" s="254">
        <v>173</v>
      </c>
      <c r="F213" s="256" t="s">
        <v>453</v>
      </c>
    </row>
    <row r="214" spans="1:6">
      <c r="A214" s="254" t="s">
        <v>708</v>
      </c>
      <c r="B214" s="255">
        <v>6527</v>
      </c>
      <c r="C214" s="254" t="s">
        <v>476</v>
      </c>
      <c r="D214" s="254" t="s">
        <v>477</v>
      </c>
      <c r="E214" s="254">
        <v>480</v>
      </c>
      <c r="F214" s="256" t="s">
        <v>456</v>
      </c>
    </row>
    <row r="215" spans="1:6">
      <c r="A215" s="254" t="s">
        <v>709</v>
      </c>
      <c r="B215" s="255">
        <v>46056</v>
      </c>
      <c r="C215" s="254" t="s">
        <v>470</v>
      </c>
      <c r="D215" s="254" t="s">
        <v>471</v>
      </c>
      <c r="E215" s="254">
        <v>25</v>
      </c>
      <c r="F215" s="256" t="s">
        <v>453</v>
      </c>
    </row>
    <row r="216" spans="1:6">
      <c r="A216" s="254" t="s">
        <v>710</v>
      </c>
      <c r="B216" s="255">
        <v>620</v>
      </c>
      <c r="C216" s="254" t="s">
        <v>473</v>
      </c>
      <c r="D216" s="254" t="s">
        <v>474</v>
      </c>
      <c r="E216" s="254">
        <v>617</v>
      </c>
      <c r="F216" s="256" t="s">
        <v>456</v>
      </c>
    </row>
    <row r="217" spans="1:6">
      <c r="A217" s="254" t="s">
        <v>711</v>
      </c>
      <c r="B217" s="255">
        <v>9197</v>
      </c>
      <c r="C217" s="254" t="s">
        <v>476</v>
      </c>
      <c r="D217" s="254" t="s">
        <v>477</v>
      </c>
      <c r="E217" s="254">
        <v>112</v>
      </c>
      <c r="F217" s="256" t="s">
        <v>453</v>
      </c>
    </row>
    <row r="218" spans="1:6">
      <c r="A218" s="254" t="s">
        <v>712</v>
      </c>
      <c r="B218" s="255">
        <v>9156</v>
      </c>
      <c r="C218" s="254" t="s">
        <v>473</v>
      </c>
      <c r="D218" s="254" t="s">
        <v>474</v>
      </c>
      <c r="E218" s="254">
        <v>246</v>
      </c>
      <c r="F218" s="256" t="s">
        <v>453</v>
      </c>
    </row>
    <row r="219" spans="1:6">
      <c r="A219" s="254" t="s">
        <v>713</v>
      </c>
      <c r="B219" s="255">
        <v>3711</v>
      </c>
      <c r="C219" s="254" t="s">
        <v>506</v>
      </c>
      <c r="D219" s="254" t="s">
        <v>483</v>
      </c>
      <c r="E219" s="254">
        <v>533</v>
      </c>
      <c r="F219" s="256" t="s">
        <v>456</v>
      </c>
    </row>
    <row r="220" spans="1:6">
      <c r="A220" s="254" t="s">
        <v>714</v>
      </c>
      <c r="B220" s="255">
        <v>1441</v>
      </c>
      <c r="C220" s="254" t="s">
        <v>479</v>
      </c>
      <c r="D220" s="254" t="s">
        <v>480</v>
      </c>
      <c r="E220" s="254">
        <v>129</v>
      </c>
      <c r="F220" s="256" t="s">
        <v>453</v>
      </c>
    </row>
    <row r="221" spans="1:6">
      <c r="A221" s="254" t="s">
        <v>715</v>
      </c>
      <c r="B221" s="255">
        <v>29</v>
      </c>
      <c r="C221" s="254" t="s">
        <v>492</v>
      </c>
      <c r="D221" s="254" t="s">
        <v>493</v>
      </c>
      <c r="E221" s="254">
        <v>1072</v>
      </c>
      <c r="F221" s="256" t="s">
        <v>459</v>
      </c>
    </row>
    <row r="222" spans="1:6">
      <c r="A222" s="254" t="s">
        <v>716</v>
      </c>
      <c r="B222" s="255">
        <v>10959</v>
      </c>
      <c r="C222" s="254" t="s">
        <v>473</v>
      </c>
      <c r="D222" s="254" t="s">
        <v>474</v>
      </c>
      <c r="E222" s="254">
        <v>277</v>
      </c>
      <c r="F222" s="256" t="s">
        <v>457</v>
      </c>
    </row>
    <row r="223" spans="1:6">
      <c r="A223" s="254" t="s">
        <v>717</v>
      </c>
      <c r="B223" s="255">
        <v>34568</v>
      </c>
      <c r="C223" s="254" t="s">
        <v>470</v>
      </c>
      <c r="D223" s="254" t="s">
        <v>471</v>
      </c>
      <c r="E223" s="254">
        <v>14</v>
      </c>
      <c r="F223" s="256" t="s">
        <v>453</v>
      </c>
    </row>
    <row r="224" spans="1:6">
      <c r="A224" s="254" t="s">
        <v>718</v>
      </c>
      <c r="B224" s="255">
        <v>242</v>
      </c>
      <c r="C224" s="254" t="s">
        <v>492</v>
      </c>
      <c r="D224" s="254" t="s">
        <v>493</v>
      </c>
      <c r="E224" s="254">
        <v>920</v>
      </c>
      <c r="F224" s="256" t="s">
        <v>459</v>
      </c>
    </row>
    <row r="225" spans="1:6">
      <c r="A225" s="254" t="s">
        <v>719</v>
      </c>
      <c r="B225" s="255">
        <v>3230</v>
      </c>
      <c r="C225" s="254" t="s">
        <v>506</v>
      </c>
      <c r="D225" s="254" t="s">
        <v>483</v>
      </c>
      <c r="E225" s="254">
        <v>595</v>
      </c>
      <c r="F225" s="256" t="s">
        <v>456</v>
      </c>
    </row>
    <row r="226" spans="1:6">
      <c r="A226" s="254" t="s">
        <v>720</v>
      </c>
      <c r="B226" s="255">
        <v>20462</v>
      </c>
      <c r="C226" s="254" t="s">
        <v>470</v>
      </c>
      <c r="D226" s="254" t="s">
        <v>471</v>
      </c>
      <c r="E226" s="254">
        <v>122</v>
      </c>
      <c r="F226" s="256" t="s">
        <v>453</v>
      </c>
    </row>
    <row r="227" spans="1:6">
      <c r="A227" s="254" t="s">
        <v>721</v>
      </c>
      <c r="B227" s="255">
        <v>2572</v>
      </c>
      <c r="C227" s="254" t="s">
        <v>496</v>
      </c>
      <c r="D227" s="254" t="s">
        <v>497</v>
      </c>
      <c r="E227" s="254">
        <v>196</v>
      </c>
      <c r="F227" s="256" t="s">
        <v>453</v>
      </c>
    </row>
    <row r="228" spans="1:6">
      <c r="A228" s="254" t="s">
        <v>722</v>
      </c>
      <c r="B228" s="255">
        <v>2545</v>
      </c>
      <c r="C228" s="254" t="s">
        <v>502</v>
      </c>
      <c r="D228" s="254" t="s">
        <v>503</v>
      </c>
      <c r="E228" s="254">
        <v>466</v>
      </c>
      <c r="F228" s="256" t="s">
        <v>456</v>
      </c>
    </row>
    <row r="229" spans="1:6">
      <c r="A229" s="254" t="s">
        <v>723</v>
      </c>
      <c r="B229" s="255">
        <v>121</v>
      </c>
      <c r="C229" s="254" t="s">
        <v>482</v>
      </c>
      <c r="D229" s="254" t="s">
        <v>483</v>
      </c>
      <c r="E229" s="254">
        <v>651</v>
      </c>
      <c r="F229" s="256" t="s">
        <v>456</v>
      </c>
    </row>
    <row r="230" spans="1:6">
      <c r="A230" s="254" t="s">
        <v>724</v>
      </c>
      <c r="B230" s="255">
        <v>1247</v>
      </c>
      <c r="C230" s="254" t="s">
        <v>506</v>
      </c>
      <c r="D230" s="254" t="s">
        <v>483</v>
      </c>
      <c r="E230" s="254">
        <v>462</v>
      </c>
      <c r="F230" s="256" t="s">
        <v>456</v>
      </c>
    </row>
    <row r="231" spans="1:6">
      <c r="A231" s="254" t="s">
        <v>725</v>
      </c>
      <c r="B231" s="255">
        <v>1268</v>
      </c>
      <c r="C231" s="254" t="s">
        <v>487</v>
      </c>
      <c r="D231" s="254" t="s">
        <v>488</v>
      </c>
      <c r="E231" s="254">
        <v>465</v>
      </c>
      <c r="F231" s="256" t="s">
        <v>456</v>
      </c>
    </row>
    <row r="232" spans="1:6">
      <c r="A232" s="254" t="s">
        <v>726</v>
      </c>
      <c r="B232" s="255">
        <v>3380</v>
      </c>
      <c r="C232" s="254" t="s">
        <v>496</v>
      </c>
      <c r="D232" s="254" t="s">
        <v>497</v>
      </c>
      <c r="E232" s="254">
        <v>340</v>
      </c>
      <c r="F232" s="256" t="s">
        <v>457</v>
      </c>
    </row>
    <row r="233" spans="1:6">
      <c r="A233" s="254" t="s">
        <v>727</v>
      </c>
      <c r="B233" s="255">
        <v>359</v>
      </c>
      <c r="C233" s="254" t="s">
        <v>487</v>
      </c>
      <c r="D233" s="254" t="s">
        <v>488</v>
      </c>
      <c r="E233" s="254">
        <v>646</v>
      </c>
      <c r="F233" s="256" t="s">
        <v>456</v>
      </c>
    </row>
    <row r="234" spans="1:6">
      <c r="A234" s="254" t="s">
        <v>728</v>
      </c>
      <c r="B234" s="255">
        <v>633</v>
      </c>
      <c r="C234" s="254" t="s">
        <v>473</v>
      </c>
      <c r="D234" s="254" t="s">
        <v>474</v>
      </c>
      <c r="E234" s="254">
        <v>569</v>
      </c>
      <c r="F234" s="256" t="s">
        <v>456</v>
      </c>
    </row>
    <row r="235" spans="1:6">
      <c r="A235" s="254" t="s">
        <v>729</v>
      </c>
      <c r="B235" s="255">
        <v>31786</v>
      </c>
      <c r="C235" s="254" t="s">
        <v>533</v>
      </c>
      <c r="D235" s="254" t="s">
        <v>534</v>
      </c>
      <c r="E235" s="254">
        <v>46</v>
      </c>
      <c r="F235" s="256" t="s">
        <v>453</v>
      </c>
    </row>
    <row r="236" spans="1:6">
      <c r="A236" s="254" t="s">
        <v>730</v>
      </c>
      <c r="B236" s="255">
        <v>2462</v>
      </c>
      <c r="C236" s="254" t="s">
        <v>496</v>
      </c>
      <c r="D236" s="254" t="s">
        <v>497</v>
      </c>
      <c r="E236" s="254">
        <v>245</v>
      </c>
      <c r="F236" s="256" t="s">
        <v>453</v>
      </c>
    </row>
    <row r="237" spans="1:6">
      <c r="A237" s="254" t="s">
        <v>731</v>
      </c>
      <c r="B237" s="255">
        <v>2568</v>
      </c>
      <c r="C237" s="254" t="s">
        <v>506</v>
      </c>
      <c r="D237" s="254" t="s">
        <v>483</v>
      </c>
      <c r="E237" s="254">
        <v>621</v>
      </c>
      <c r="F237" s="256" t="s">
        <v>456</v>
      </c>
    </row>
    <row r="238" spans="1:6">
      <c r="A238" s="254" t="s">
        <v>732</v>
      </c>
      <c r="B238" s="255">
        <v>4862</v>
      </c>
      <c r="C238" s="254" t="s">
        <v>476</v>
      </c>
      <c r="D238" s="254" t="s">
        <v>477</v>
      </c>
      <c r="E238" s="254">
        <v>305</v>
      </c>
      <c r="F238" s="256" t="s">
        <v>457</v>
      </c>
    </row>
    <row r="239" spans="1:6">
      <c r="A239" s="254" t="s">
        <v>733</v>
      </c>
      <c r="B239" s="255">
        <v>162</v>
      </c>
      <c r="C239" s="254" t="s">
        <v>487</v>
      </c>
      <c r="D239" s="254" t="s">
        <v>488</v>
      </c>
      <c r="E239" s="254">
        <v>587</v>
      </c>
      <c r="F239" s="256" t="s">
        <v>456</v>
      </c>
    </row>
    <row r="240" spans="1:6">
      <c r="A240" s="254" t="s">
        <v>734</v>
      </c>
      <c r="B240" s="255">
        <v>5791</v>
      </c>
      <c r="C240" s="254" t="s">
        <v>479</v>
      </c>
      <c r="D240" s="254" t="s">
        <v>480</v>
      </c>
      <c r="E240" s="254">
        <v>15</v>
      </c>
      <c r="F240" s="256" t="s">
        <v>453</v>
      </c>
    </row>
    <row r="241" spans="1:6">
      <c r="A241" s="254" t="s">
        <v>735</v>
      </c>
      <c r="B241" s="255">
        <v>2407</v>
      </c>
      <c r="C241" s="254" t="s">
        <v>496</v>
      </c>
      <c r="D241" s="254" t="s">
        <v>497</v>
      </c>
      <c r="E241" s="254">
        <v>326</v>
      </c>
      <c r="F241" s="256" t="s">
        <v>457</v>
      </c>
    </row>
    <row r="242" spans="1:6">
      <c r="A242" s="254" t="s">
        <v>736</v>
      </c>
      <c r="B242" s="255">
        <v>2115</v>
      </c>
      <c r="C242" s="254" t="s">
        <v>506</v>
      </c>
      <c r="D242" s="254" t="s">
        <v>483</v>
      </c>
      <c r="E242" s="254">
        <v>587</v>
      </c>
      <c r="F242" s="256" t="s">
        <v>456</v>
      </c>
    </row>
    <row r="243" spans="1:6">
      <c r="A243" s="254" t="s">
        <v>737</v>
      </c>
      <c r="B243" s="255">
        <v>20241</v>
      </c>
      <c r="C243" s="254" t="s">
        <v>502</v>
      </c>
      <c r="D243" s="254" t="s">
        <v>503</v>
      </c>
      <c r="E243" s="254">
        <v>188</v>
      </c>
      <c r="F243" s="256" t="s">
        <v>453</v>
      </c>
    </row>
    <row r="244" spans="1:6">
      <c r="A244" s="254" t="s">
        <v>738</v>
      </c>
      <c r="B244" s="255">
        <v>677</v>
      </c>
      <c r="C244" s="254" t="s">
        <v>520</v>
      </c>
      <c r="D244" s="254" t="s">
        <v>521</v>
      </c>
      <c r="E244" s="254">
        <v>627</v>
      </c>
      <c r="F244" s="256" t="s">
        <v>456</v>
      </c>
    </row>
    <row r="245" spans="1:6">
      <c r="A245" s="254" t="s">
        <v>739</v>
      </c>
      <c r="B245" s="255">
        <v>12945</v>
      </c>
      <c r="C245" s="254" t="s">
        <v>496</v>
      </c>
      <c r="D245" s="254" t="s">
        <v>497</v>
      </c>
      <c r="E245" s="254">
        <v>141</v>
      </c>
      <c r="F245" s="256" t="s">
        <v>453</v>
      </c>
    </row>
    <row r="246" spans="1:6">
      <c r="A246" s="254" t="s">
        <v>740</v>
      </c>
      <c r="B246" s="255">
        <v>89</v>
      </c>
      <c r="C246" s="254" t="s">
        <v>506</v>
      </c>
      <c r="D246" s="254" t="s">
        <v>483</v>
      </c>
      <c r="E246" s="254">
        <v>526</v>
      </c>
      <c r="F246" s="256" t="s">
        <v>456</v>
      </c>
    </row>
    <row r="247" spans="1:6">
      <c r="A247" s="254" t="s">
        <v>741</v>
      </c>
      <c r="B247" s="255">
        <v>3430</v>
      </c>
      <c r="C247" s="254" t="s">
        <v>473</v>
      </c>
      <c r="D247" s="254" t="s">
        <v>474</v>
      </c>
      <c r="E247" s="254">
        <v>374</v>
      </c>
      <c r="F247" s="256" t="s">
        <v>457</v>
      </c>
    </row>
    <row r="248" spans="1:6">
      <c r="A248" s="254" t="s">
        <v>742</v>
      </c>
      <c r="B248" s="255">
        <v>10068</v>
      </c>
      <c r="C248" s="254" t="s">
        <v>473</v>
      </c>
      <c r="D248" s="254" t="s">
        <v>474</v>
      </c>
      <c r="E248" s="254">
        <v>176</v>
      </c>
      <c r="F248" s="256" t="s">
        <v>453</v>
      </c>
    </row>
    <row r="249" spans="1:6">
      <c r="A249" s="254" t="s">
        <v>743</v>
      </c>
      <c r="B249" s="255">
        <v>6701</v>
      </c>
      <c r="C249" s="254" t="s">
        <v>479</v>
      </c>
      <c r="D249" s="254" t="s">
        <v>480</v>
      </c>
      <c r="E249" s="254">
        <v>143</v>
      </c>
      <c r="F249" s="256" t="s">
        <v>453</v>
      </c>
    </row>
    <row r="250" spans="1:6">
      <c r="A250" s="254" t="s">
        <v>744</v>
      </c>
      <c r="B250" s="255">
        <v>2083</v>
      </c>
      <c r="C250" s="254" t="s">
        <v>506</v>
      </c>
      <c r="D250" s="254" t="s">
        <v>483</v>
      </c>
      <c r="E250" s="254">
        <v>554</v>
      </c>
      <c r="F250" s="256" t="s">
        <v>456</v>
      </c>
    </row>
    <row r="251" spans="1:6">
      <c r="A251" s="254" t="s">
        <v>745</v>
      </c>
      <c r="B251" s="255">
        <v>28406</v>
      </c>
      <c r="C251" s="254" t="s">
        <v>470</v>
      </c>
      <c r="D251" s="254" t="s">
        <v>471</v>
      </c>
      <c r="E251" s="254">
        <v>22</v>
      </c>
      <c r="F251" s="256" t="s">
        <v>453</v>
      </c>
    </row>
    <row r="252" spans="1:6">
      <c r="A252" s="254" t="s">
        <v>746</v>
      </c>
      <c r="B252" s="255">
        <v>184</v>
      </c>
      <c r="C252" s="254" t="s">
        <v>506</v>
      </c>
      <c r="D252" s="254" t="s">
        <v>483</v>
      </c>
      <c r="E252" s="254">
        <v>519</v>
      </c>
      <c r="F252" s="256" t="s">
        <v>456</v>
      </c>
    </row>
    <row r="253" spans="1:6">
      <c r="A253" s="254" t="s">
        <v>747</v>
      </c>
      <c r="B253" s="255">
        <v>8393</v>
      </c>
      <c r="C253" s="254" t="s">
        <v>470</v>
      </c>
      <c r="D253" s="254" t="s">
        <v>471</v>
      </c>
      <c r="E253" s="254">
        <v>173</v>
      </c>
      <c r="F253" s="256" t="s">
        <v>453</v>
      </c>
    </row>
    <row r="254" spans="1:6">
      <c r="A254" s="254" t="s">
        <v>748</v>
      </c>
      <c r="B254" s="255">
        <v>119862</v>
      </c>
      <c r="C254" s="254" t="s">
        <v>499</v>
      </c>
      <c r="D254" s="254" t="s">
        <v>500</v>
      </c>
      <c r="E254" s="254">
        <v>56</v>
      </c>
      <c r="F254" s="256" t="s">
        <v>453</v>
      </c>
    </row>
    <row r="255" spans="1:6">
      <c r="A255" s="254" t="s">
        <v>749</v>
      </c>
      <c r="B255" s="255">
        <v>2303</v>
      </c>
      <c r="C255" s="254" t="s">
        <v>506</v>
      </c>
      <c r="D255" s="254" t="s">
        <v>483</v>
      </c>
      <c r="E255" s="254">
        <v>538</v>
      </c>
      <c r="F255" s="256" t="s">
        <v>456</v>
      </c>
    </row>
    <row r="256" spans="1:6">
      <c r="A256" s="254" t="s">
        <v>750</v>
      </c>
      <c r="B256" s="255">
        <v>1450</v>
      </c>
      <c r="C256" s="254" t="s">
        <v>506</v>
      </c>
      <c r="D256" s="254" t="s">
        <v>483</v>
      </c>
      <c r="E256" s="254">
        <v>568</v>
      </c>
      <c r="F256" s="256" t="s">
        <v>456</v>
      </c>
    </row>
    <row r="257" spans="1:6">
      <c r="A257" s="254" t="s">
        <v>751</v>
      </c>
      <c r="B257" s="255">
        <v>7846</v>
      </c>
      <c r="C257" s="254" t="s">
        <v>476</v>
      </c>
      <c r="D257" s="254" t="s">
        <v>477</v>
      </c>
      <c r="E257" s="254">
        <v>162</v>
      </c>
      <c r="F257" s="256" t="s">
        <v>453</v>
      </c>
    </row>
    <row r="258" spans="1:6">
      <c r="A258" s="254" t="s">
        <v>752</v>
      </c>
      <c r="B258" s="255">
        <v>362</v>
      </c>
      <c r="C258" s="254" t="s">
        <v>496</v>
      </c>
      <c r="D258" s="254" t="s">
        <v>497</v>
      </c>
      <c r="E258" s="254">
        <v>240</v>
      </c>
      <c r="F258" s="256" t="s">
        <v>453</v>
      </c>
    </row>
    <row r="259" spans="1:6">
      <c r="A259" s="254" t="s">
        <v>753</v>
      </c>
      <c r="B259" s="255">
        <v>10456</v>
      </c>
      <c r="C259" s="254" t="s">
        <v>487</v>
      </c>
      <c r="D259" s="254" t="s">
        <v>488</v>
      </c>
      <c r="E259" s="254">
        <v>391</v>
      </c>
      <c r="F259" s="256" t="s">
        <v>457</v>
      </c>
    </row>
    <row r="260" spans="1:6">
      <c r="A260" s="254" t="s">
        <v>754</v>
      </c>
      <c r="B260" s="255">
        <v>7650</v>
      </c>
      <c r="C260" s="254" t="s">
        <v>496</v>
      </c>
      <c r="D260" s="254" t="s">
        <v>497</v>
      </c>
      <c r="E260" s="254">
        <v>161</v>
      </c>
      <c r="F260" s="256" t="s">
        <v>453</v>
      </c>
    </row>
    <row r="261" spans="1:6">
      <c r="A261" s="254" t="s">
        <v>755</v>
      </c>
      <c r="B261" s="255">
        <v>165</v>
      </c>
      <c r="C261" s="254" t="s">
        <v>506</v>
      </c>
      <c r="D261" s="254" t="s">
        <v>483</v>
      </c>
      <c r="E261" s="254">
        <v>866</v>
      </c>
      <c r="F261" s="256" t="s">
        <v>459</v>
      </c>
    </row>
    <row r="262" spans="1:6">
      <c r="A262" s="254" t="s">
        <v>756</v>
      </c>
      <c r="B262" s="255">
        <v>881</v>
      </c>
      <c r="C262" s="254" t="s">
        <v>476</v>
      </c>
      <c r="D262" s="254" t="s">
        <v>477</v>
      </c>
      <c r="E262" s="254">
        <v>181</v>
      </c>
      <c r="F262" s="256" t="s">
        <v>453</v>
      </c>
    </row>
    <row r="263" spans="1:6">
      <c r="A263" s="254" t="s">
        <v>757</v>
      </c>
      <c r="B263" s="255">
        <v>174</v>
      </c>
      <c r="C263" s="254" t="s">
        <v>492</v>
      </c>
      <c r="D263" s="254" t="s">
        <v>493</v>
      </c>
      <c r="E263" s="254">
        <v>532</v>
      </c>
      <c r="F263" s="256" t="s">
        <v>456</v>
      </c>
    </row>
    <row r="264" spans="1:6">
      <c r="A264" s="254" t="s">
        <v>758</v>
      </c>
      <c r="B264" s="255">
        <v>138</v>
      </c>
      <c r="C264" s="254" t="s">
        <v>487</v>
      </c>
      <c r="D264" s="254" t="s">
        <v>488</v>
      </c>
      <c r="E264" s="254">
        <v>628</v>
      </c>
      <c r="F264" s="256" t="s">
        <v>456</v>
      </c>
    </row>
    <row r="265" spans="1:6">
      <c r="A265" s="254" t="s">
        <v>759</v>
      </c>
      <c r="B265" s="255">
        <v>9872</v>
      </c>
      <c r="C265" s="254" t="s">
        <v>476</v>
      </c>
      <c r="D265" s="254" t="s">
        <v>477</v>
      </c>
      <c r="E265" s="254">
        <v>208</v>
      </c>
      <c r="F265" s="256" t="s">
        <v>453</v>
      </c>
    </row>
    <row r="266" spans="1:6">
      <c r="A266" s="254" t="s">
        <v>760</v>
      </c>
      <c r="B266" s="255">
        <v>1086</v>
      </c>
      <c r="C266" s="254" t="s">
        <v>520</v>
      </c>
      <c r="D266" s="254" t="s">
        <v>521</v>
      </c>
      <c r="E266" s="254">
        <v>542</v>
      </c>
      <c r="F266" s="256" t="s">
        <v>456</v>
      </c>
    </row>
    <row r="267" spans="1:6">
      <c r="A267" s="254" t="s">
        <v>761</v>
      </c>
      <c r="B267" s="255">
        <v>25928</v>
      </c>
      <c r="C267" s="254" t="s">
        <v>502</v>
      </c>
      <c r="D267" s="254" t="s">
        <v>503</v>
      </c>
      <c r="E267" s="254">
        <v>74</v>
      </c>
      <c r="F267" s="256" t="s">
        <v>453</v>
      </c>
    </row>
    <row r="268" spans="1:6">
      <c r="A268" s="254" t="s">
        <v>762</v>
      </c>
      <c r="B268" s="255">
        <v>3887</v>
      </c>
      <c r="C268" s="254" t="s">
        <v>479</v>
      </c>
      <c r="D268" s="254" t="s">
        <v>480</v>
      </c>
      <c r="E268" s="254">
        <v>10</v>
      </c>
      <c r="F268" s="256" t="s">
        <v>453</v>
      </c>
    </row>
    <row r="269" spans="1:6">
      <c r="A269" s="254" t="s">
        <v>763</v>
      </c>
      <c r="B269" s="255">
        <v>7693</v>
      </c>
      <c r="C269" s="254" t="s">
        <v>473</v>
      </c>
      <c r="D269" s="254" t="s">
        <v>474</v>
      </c>
      <c r="E269" s="254">
        <v>320</v>
      </c>
      <c r="F269" s="256" t="s">
        <v>457</v>
      </c>
    </row>
    <row r="270" spans="1:6">
      <c r="A270" s="254" t="s">
        <v>764</v>
      </c>
      <c r="B270" s="255">
        <v>9474</v>
      </c>
      <c r="C270" s="254" t="s">
        <v>502</v>
      </c>
      <c r="D270" s="254" t="s">
        <v>503</v>
      </c>
      <c r="E270" s="254">
        <v>241</v>
      </c>
      <c r="F270" s="256" t="s">
        <v>453</v>
      </c>
    </row>
    <row r="271" spans="1:6">
      <c r="A271" s="254" t="s">
        <v>765</v>
      </c>
      <c r="B271" s="255">
        <v>3770</v>
      </c>
      <c r="C271" s="254" t="s">
        <v>506</v>
      </c>
      <c r="D271" s="254" t="s">
        <v>483</v>
      </c>
      <c r="E271" s="254">
        <v>663</v>
      </c>
      <c r="F271" s="256" t="s">
        <v>456</v>
      </c>
    </row>
    <row r="272" spans="1:6">
      <c r="A272" s="254" t="s">
        <v>766</v>
      </c>
      <c r="B272" s="255">
        <v>31954</v>
      </c>
      <c r="C272" s="254" t="s">
        <v>533</v>
      </c>
      <c r="D272" s="254" t="s">
        <v>534</v>
      </c>
      <c r="E272" s="254">
        <v>10</v>
      </c>
      <c r="F272" s="256" t="s">
        <v>453</v>
      </c>
    </row>
    <row r="273" spans="1:6">
      <c r="A273" s="254" t="s">
        <v>767</v>
      </c>
      <c r="B273" s="255">
        <v>86</v>
      </c>
      <c r="C273" s="254" t="s">
        <v>482</v>
      </c>
      <c r="D273" s="254" t="s">
        <v>483</v>
      </c>
      <c r="E273" s="254">
        <v>880</v>
      </c>
      <c r="F273" s="256" t="s">
        <v>459</v>
      </c>
    </row>
    <row r="274" spans="1:6">
      <c r="A274" s="254" t="s">
        <v>768</v>
      </c>
      <c r="B274" s="255">
        <v>217</v>
      </c>
      <c r="C274" s="254" t="s">
        <v>506</v>
      </c>
      <c r="D274" s="254" t="s">
        <v>483</v>
      </c>
      <c r="E274" s="254">
        <v>716</v>
      </c>
      <c r="F274" s="256" t="s">
        <v>456</v>
      </c>
    </row>
    <row r="275" spans="1:6">
      <c r="A275" s="254" t="s">
        <v>769</v>
      </c>
      <c r="B275" s="255">
        <v>3243</v>
      </c>
      <c r="C275" s="254" t="s">
        <v>496</v>
      </c>
      <c r="D275" s="254" t="s">
        <v>497</v>
      </c>
      <c r="E275" s="254">
        <v>243</v>
      </c>
      <c r="F275" s="256" t="s">
        <v>453</v>
      </c>
    </row>
    <row r="276" spans="1:6">
      <c r="A276" s="254" t="s">
        <v>770</v>
      </c>
      <c r="B276" s="255">
        <v>6046</v>
      </c>
      <c r="C276" s="254" t="s">
        <v>473</v>
      </c>
      <c r="D276" s="254" t="s">
        <v>474</v>
      </c>
      <c r="E276" s="254">
        <v>326</v>
      </c>
      <c r="F276" s="256" t="s">
        <v>457</v>
      </c>
    </row>
    <row r="277" spans="1:6">
      <c r="A277" s="254" t="s">
        <v>771</v>
      </c>
      <c r="B277" s="255">
        <v>344</v>
      </c>
      <c r="C277" s="254" t="s">
        <v>476</v>
      </c>
      <c r="D277" s="254" t="s">
        <v>477</v>
      </c>
      <c r="E277" s="254">
        <v>315</v>
      </c>
      <c r="F277" s="256" t="s">
        <v>457</v>
      </c>
    </row>
    <row r="278" spans="1:6">
      <c r="A278" s="254" t="s">
        <v>772</v>
      </c>
      <c r="B278" s="255">
        <v>223</v>
      </c>
      <c r="C278" s="254" t="s">
        <v>473</v>
      </c>
      <c r="D278" s="254" t="s">
        <v>474</v>
      </c>
      <c r="E278" s="254">
        <v>552</v>
      </c>
      <c r="F278" s="256" t="s">
        <v>456</v>
      </c>
    </row>
    <row r="279" spans="1:6">
      <c r="A279" s="254" t="s">
        <v>773</v>
      </c>
      <c r="B279" s="255">
        <v>6809</v>
      </c>
      <c r="C279" s="254" t="s">
        <v>506</v>
      </c>
      <c r="D279" s="254" t="s">
        <v>483</v>
      </c>
      <c r="E279" s="254">
        <v>623</v>
      </c>
      <c r="F279" s="256" t="s">
        <v>456</v>
      </c>
    </row>
    <row r="280" spans="1:6">
      <c r="A280" s="254" t="s">
        <v>774</v>
      </c>
      <c r="B280" s="255">
        <v>340</v>
      </c>
      <c r="C280" s="254" t="s">
        <v>506</v>
      </c>
      <c r="D280" s="254" t="s">
        <v>483</v>
      </c>
      <c r="E280" s="254">
        <v>537</v>
      </c>
      <c r="F280" s="256" t="s">
        <v>456</v>
      </c>
    </row>
    <row r="281" spans="1:6">
      <c r="A281" s="254" t="s">
        <v>775</v>
      </c>
      <c r="B281" s="255">
        <v>126</v>
      </c>
      <c r="C281" s="254" t="s">
        <v>506</v>
      </c>
      <c r="D281" s="254" t="s">
        <v>483</v>
      </c>
      <c r="E281" s="254">
        <v>869</v>
      </c>
      <c r="F281" s="256" t="s">
        <v>459</v>
      </c>
    </row>
    <row r="282" spans="1:6">
      <c r="A282" s="254" t="s">
        <v>776</v>
      </c>
      <c r="B282" s="255">
        <v>6696</v>
      </c>
      <c r="C282" s="254" t="s">
        <v>479</v>
      </c>
      <c r="D282" s="254" t="s">
        <v>480</v>
      </c>
      <c r="E282" s="254">
        <v>128</v>
      </c>
      <c r="F282" s="256" t="s">
        <v>453</v>
      </c>
    </row>
    <row r="283" spans="1:6">
      <c r="A283" s="254" t="s">
        <v>777</v>
      </c>
      <c r="B283" s="255">
        <v>225277</v>
      </c>
      <c r="C283" s="254" t="s">
        <v>502</v>
      </c>
      <c r="D283" s="254" t="s">
        <v>503</v>
      </c>
      <c r="E283" s="254">
        <v>277</v>
      </c>
      <c r="F283" s="256" t="s">
        <v>457</v>
      </c>
    </row>
    <row r="284" spans="1:6">
      <c r="A284" s="254" t="s">
        <v>778</v>
      </c>
      <c r="B284" s="255">
        <v>9198</v>
      </c>
      <c r="C284" s="254" t="s">
        <v>479</v>
      </c>
      <c r="D284" s="254" t="s">
        <v>480</v>
      </c>
      <c r="E284" s="254">
        <v>136</v>
      </c>
      <c r="F284" s="256" t="s">
        <v>453</v>
      </c>
    </row>
    <row r="285" spans="1:6">
      <c r="A285" s="254" t="s">
        <v>779</v>
      </c>
      <c r="B285" s="255">
        <v>8455</v>
      </c>
      <c r="C285" s="254" t="s">
        <v>506</v>
      </c>
      <c r="D285" s="254" t="s">
        <v>483</v>
      </c>
      <c r="E285" s="254">
        <v>596</v>
      </c>
      <c r="F285" s="256" t="s">
        <v>456</v>
      </c>
    </row>
    <row r="286" spans="1:6">
      <c r="A286" s="254" t="s">
        <v>780</v>
      </c>
      <c r="B286" s="255">
        <v>18409</v>
      </c>
      <c r="C286" s="254" t="s">
        <v>479</v>
      </c>
      <c r="D286" s="254" t="s">
        <v>480</v>
      </c>
      <c r="E286" s="254">
        <v>34</v>
      </c>
      <c r="F286" s="256" t="s">
        <v>453</v>
      </c>
    </row>
    <row r="287" spans="1:6">
      <c r="A287" s="254" t="s">
        <v>781</v>
      </c>
      <c r="B287" s="255">
        <v>14902</v>
      </c>
      <c r="C287" s="254" t="s">
        <v>506</v>
      </c>
      <c r="D287" s="254" t="s">
        <v>483</v>
      </c>
      <c r="E287" s="254">
        <v>508</v>
      </c>
      <c r="F287" s="256" t="s">
        <v>456</v>
      </c>
    </row>
    <row r="288" spans="1:6">
      <c r="A288" s="254" t="s">
        <v>782</v>
      </c>
      <c r="B288" s="255">
        <v>1499</v>
      </c>
      <c r="C288" s="254" t="s">
        <v>496</v>
      </c>
      <c r="D288" s="254" t="s">
        <v>497</v>
      </c>
      <c r="E288" s="254">
        <v>202</v>
      </c>
      <c r="F288" s="256" t="s">
        <v>453</v>
      </c>
    </row>
    <row r="289" spans="1:6">
      <c r="A289" s="254" t="s">
        <v>783</v>
      </c>
      <c r="B289" s="255">
        <v>2608</v>
      </c>
      <c r="C289" s="254" t="s">
        <v>496</v>
      </c>
      <c r="D289" s="254" t="s">
        <v>497</v>
      </c>
      <c r="E289" s="254">
        <v>367</v>
      </c>
      <c r="F289" s="256" t="s">
        <v>457</v>
      </c>
    </row>
    <row r="290" spans="1:6">
      <c r="A290" s="254" t="s">
        <v>784</v>
      </c>
      <c r="B290" s="255">
        <v>6225</v>
      </c>
      <c r="C290" s="254" t="s">
        <v>470</v>
      </c>
      <c r="D290" s="254" t="s">
        <v>471</v>
      </c>
      <c r="E290" s="254">
        <v>126</v>
      </c>
      <c r="F290" s="256" t="s">
        <v>453</v>
      </c>
    </row>
    <row r="291" spans="1:6">
      <c r="A291" s="254" t="s">
        <v>785</v>
      </c>
      <c r="B291" s="255">
        <v>2162</v>
      </c>
      <c r="C291" s="254" t="s">
        <v>502</v>
      </c>
      <c r="D291" s="254" t="s">
        <v>503</v>
      </c>
      <c r="E291" s="254">
        <v>342</v>
      </c>
      <c r="F291" s="256" t="s">
        <v>457</v>
      </c>
    </row>
    <row r="292" spans="1:6">
      <c r="A292" s="254" t="s">
        <v>786</v>
      </c>
      <c r="B292" s="255">
        <v>7460</v>
      </c>
      <c r="C292" s="254" t="s">
        <v>502</v>
      </c>
      <c r="D292" s="254" t="s">
        <v>503</v>
      </c>
      <c r="E292" s="254">
        <v>382</v>
      </c>
      <c r="F292" s="256" t="s">
        <v>457</v>
      </c>
    </row>
    <row r="293" spans="1:6">
      <c r="A293" s="254" t="s">
        <v>787</v>
      </c>
      <c r="B293" s="255">
        <v>1428</v>
      </c>
      <c r="C293" s="254" t="s">
        <v>487</v>
      </c>
      <c r="D293" s="254" t="s">
        <v>488</v>
      </c>
      <c r="E293" s="254">
        <v>289</v>
      </c>
      <c r="F293" s="256" t="s">
        <v>457</v>
      </c>
    </row>
    <row r="294" spans="1:6">
      <c r="A294" s="254" t="s">
        <v>788</v>
      </c>
      <c r="B294" s="255">
        <v>273</v>
      </c>
      <c r="C294" s="254" t="s">
        <v>492</v>
      </c>
      <c r="D294" s="254" t="s">
        <v>493</v>
      </c>
      <c r="E294" s="254">
        <v>1118</v>
      </c>
      <c r="F294" s="256" t="s">
        <v>459</v>
      </c>
    </row>
    <row r="295" spans="1:6">
      <c r="A295" s="254" t="s">
        <v>789</v>
      </c>
      <c r="B295" s="255">
        <v>3204</v>
      </c>
      <c r="C295" s="254" t="s">
        <v>476</v>
      </c>
      <c r="D295" s="254" t="s">
        <v>477</v>
      </c>
      <c r="E295" s="254">
        <v>222</v>
      </c>
      <c r="F295" s="256" t="s">
        <v>453</v>
      </c>
    </row>
    <row r="296" spans="1:6">
      <c r="A296" s="254" t="s">
        <v>790</v>
      </c>
      <c r="B296" s="255">
        <v>15823</v>
      </c>
      <c r="C296" s="254" t="s">
        <v>470</v>
      </c>
      <c r="D296" s="254" t="s">
        <v>471</v>
      </c>
      <c r="E296" s="254">
        <v>177</v>
      </c>
      <c r="F296" s="256" t="s">
        <v>453</v>
      </c>
    </row>
    <row r="297" spans="1:6">
      <c r="A297" s="254" t="s">
        <v>791</v>
      </c>
      <c r="B297" s="255">
        <v>2705</v>
      </c>
      <c r="C297" s="254" t="s">
        <v>476</v>
      </c>
      <c r="D297" s="254" t="s">
        <v>477</v>
      </c>
      <c r="E297" s="254">
        <v>153</v>
      </c>
      <c r="F297" s="256" t="s">
        <v>453</v>
      </c>
    </row>
    <row r="298" spans="1:6">
      <c r="A298" s="254" t="s">
        <v>792</v>
      </c>
      <c r="B298" s="255">
        <v>179</v>
      </c>
      <c r="C298" s="254" t="s">
        <v>487</v>
      </c>
      <c r="D298" s="254" t="s">
        <v>488</v>
      </c>
      <c r="E298" s="254">
        <v>653</v>
      </c>
      <c r="F298" s="256" t="s">
        <v>456</v>
      </c>
    </row>
    <row r="299" spans="1:6">
      <c r="A299" s="254" t="s">
        <v>793</v>
      </c>
      <c r="B299" s="255">
        <v>48364</v>
      </c>
      <c r="C299" s="254" t="s">
        <v>506</v>
      </c>
      <c r="D299" s="254" t="s">
        <v>483</v>
      </c>
      <c r="E299" s="254">
        <v>487</v>
      </c>
      <c r="F299" s="256" t="s">
        <v>456</v>
      </c>
    </row>
    <row r="300" spans="1:6">
      <c r="A300" s="254" t="s">
        <v>794</v>
      </c>
      <c r="B300" s="255">
        <v>434</v>
      </c>
      <c r="C300" s="254" t="s">
        <v>492</v>
      </c>
      <c r="D300" s="254" t="s">
        <v>493</v>
      </c>
      <c r="E300" s="254">
        <v>750</v>
      </c>
      <c r="F300" s="256" t="s">
        <v>456</v>
      </c>
    </row>
    <row r="301" spans="1:6">
      <c r="A301" s="254" t="s">
        <v>795</v>
      </c>
      <c r="B301" s="255">
        <v>66677</v>
      </c>
      <c r="C301" s="254" t="s">
        <v>470</v>
      </c>
      <c r="D301" s="254" t="s">
        <v>471</v>
      </c>
      <c r="E301" s="254">
        <v>18</v>
      </c>
      <c r="F301" s="256" t="s">
        <v>453</v>
      </c>
    </row>
    <row r="302" spans="1:6">
      <c r="A302" s="254" t="s">
        <v>796</v>
      </c>
      <c r="B302" s="255">
        <v>7809</v>
      </c>
      <c r="C302" s="254" t="s">
        <v>502</v>
      </c>
      <c r="D302" s="254" t="s">
        <v>503</v>
      </c>
      <c r="E302" s="254">
        <v>274</v>
      </c>
      <c r="F302" s="256" t="s">
        <v>457</v>
      </c>
    </row>
    <row r="303" spans="1:6">
      <c r="A303" s="254" t="s">
        <v>797</v>
      </c>
      <c r="B303" s="255">
        <v>40714</v>
      </c>
      <c r="C303" s="254" t="s">
        <v>496</v>
      </c>
      <c r="D303" s="254" t="s">
        <v>497</v>
      </c>
      <c r="E303" s="254">
        <v>223</v>
      </c>
      <c r="F303" s="256" t="s">
        <v>453</v>
      </c>
    </row>
    <row r="304" spans="1:6">
      <c r="A304" s="254" t="s">
        <v>798</v>
      </c>
      <c r="B304" s="255">
        <v>753</v>
      </c>
      <c r="C304" s="254" t="s">
        <v>476</v>
      </c>
      <c r="D304" s="254" t="s">
        <v>477</v>
      </c>
      <c r="E304" s="254">
        <v>200</v>
      </c>
      <c r="F304" s="256" t="s">
        <v>453</v>
      </c>
    </row>
    <row r="305" spans="1:6">
      <c r="A305" s="254" t="s">
        <v>799</v>
      </c>
      <c r="B305" s="255">
        <v>310</v>
      </c>
      <c r="C305" s="254" t="s">
        <v>506</v>
      </c>
      <c r="D305" s="254" t="s">
        <v>483</v>
      </c>
      <c r="E305" s="254">
        <v>558</v>
      </c>
      <c r="F305" s="256" t="s">
        <v>456</v>
      </c>
    </row>
    <row r="306" spans="1:6">
      <c r="A306" s="254" t="s">
        <v>800</v>
      </c>
      <c r="B306" s="255">
        <v>12758</v>
      </c>
      <c r="C306" s="254" t="s">
        <v>487</v>
      </c>
      <c r="D306" s="254" t="s">
        <v>488</v>
      </c>
      <c r="E306" s="254">
        <v>302</v>
      </c>
      <c r="F306" s="256" t="s">
        <v>457</v>
      </c>
    </row>
    <row r="307" spans="1:6">
      <c r="A307" s="254" t="s">
        <v>801</v>
      </c>
      <c r="B307" s="255">
        <v>5600</v>
      </c>
      <c r="C307" s="254" t="s">
        <v>476</v>
      </c>
      <c r="D307" s="254" t="s">
        <v>477</v>
      </c>
      <c r="E307" s="254">
        <v>100</v>
      </c>
      <c r="F307" s="256" t="s">
        <v>453</v>
      </c>
    </row>
    <row r="308" spans="1:6">
      <c r="A308" s="254" t="s">
        <v>802</v>
      </c>
      <c r="B308" s="255">
        <v>68854</v>
      </c>
      <c r="C308" s="254" t="s">
        <v>533</v>
      </c>
      <c r="D308" s="254" t="s">
        <v>534</v>
      </c>
      <c r="E308" s="254">
        <v>22</v>
      </c>
      <c r="F308" s="256" t="s">
        <v>453</v>
      </c>
    </row>
    <row r="309" spans="1:6">
      <c r="A309" s="254" t="s">
        <v>803</v>
      </c>
      <c r="B309" s="255">
        <v>9230</v>
      </c>
      <c r="C309" s="254" t="s">
        <v>479</v>
      </c>
      <c r="D309" s="254" t="s">
        <v>480</v>
      </c>
      <c r="E309" s="254">
        <v>135</v>
      </c>
      <c r="F309" s="256" t="s">
        <v>453</v>
      </c>
    </row>
    <row r="310" spans="1:6">
      <c r="A310" s="254" t="s">
        <v>804</v>
      </c>
      <c r="B310" s="255">
        <v>21055</v>
      </c>
      <c r="C310" s="254" t="s">
        <v>479</v>
      </c>
      <c r="D310" s="254" t="s">
        <v>480</v>
      </c>
      <c r="E310" s="254">
        <v>10</v>
      </c>
      <c r="F310" s="256" t="s">
        <v>453</v>
      </c>
    </row>
    <row r="311" spans="1:6">
      <c r="A311" s="254" t="s">
        <v>805</v>
      </c>
      <c r="B311" s="255">
        <v>1141</v>
      </c>
      <c r="C311" s="254" t="s">
        <v>496</v>
      </c>
      <c r="D311" s="254" t="s">
        <v>497</v>
      </c>
      <c r="E311" s="254">
        <v>333</v>
      </c>
      <c r="F311" s="256" t="s">
        <v>457</v>
      </c>
    </row>
    <row r="312" spans="1:6">
      <c r="A312" s="254" t="s">
        <v>806</v>
      </c>
      <c r="B312" s="255">
        <v>173</v>
      </c>
      <c r="C312" s="254" t="s">
        <v>492</v>
      </c>
      <c r="D312" s="254" t="s">
        <v>493</v>
      </c>
      <c r="E312" s="254">
        <v>729</v>
      </c>
      <c r="F312" s="256" t="s">
        <v>456</v>
      </c>
    </row>
    <row r="313" spans="1:6">
      <c r="A313" s="254" t="s">
        <v>807</v>
      </c>
      <c r="B313" s="255">
        <v>3009</v>
      </c>
      <c r="C313" s="254" t="s">
        <v>502</v>
      </c>
      <c r="D313" s="254" t="s">
        <v>503</v>
      </c>
      <c r="E313" s="254">
        <v>188</v>
      </c>
      <c r="F313" s="256" t="s">
        <v>453</v>
      </c>
    </row>
    <row r="314" spans="1:6">
      <c r="A314" s="254" t="s">
        <v>808</v>
      </c>
      <c r="B314" s="255">
        <v>221</v>
      </c>
      <c r="C314" s="254" t="s">
        <v>473</v>
      </c>
      <c r="D314" s="254" t="s">
        <v>474</v>
      </c>
      <c r="E314" s="254">
        <v>277</v>
      </c>
      <c r="F314" s="256" t="s">
        <v>457</v>
      </c>
    </row>
    <row r="315" spans="1:6">
      <c r="A315" s="254" t="s">
        <v>809</v>
      </c>
      <c r="B315" s="255">
        <v>1369</v>
      </c>
      <c r="C315" s="254" t="s">
        <v>506</v>
      </c>
      <c r="D315" s="254" t="s">
        <v>483</v>
      </c>
      <c r="E315" s="254">
        <v>663</v>
      </c>
      <c r="F315" s="256" t="s">
        <v>456</v>
      </c>
    </row>
    <row r="316" spans="1:6">
      <c r="A316" s="254" t="s">
        <v>810</v>
      </c>
      <c r="B316" s="255">
        <v>8816</v>
      </c>
      <c r="C316" s="254" t="s">
        <v>502</v>
      </c>
      <c r="D316" s="254" t="s">
        <v>503</v>
      </c>
      <c r="E316" s="254">
        <v>131</v>
      </c>
      <c r="F316" s="256" t="s">
        <v>453</v>
      </c>
    </row>
  </sheetData>
  <sheetProtection sheet="1" objects="1" scenarios="1"/>
  <autoFilter ref="A1:D316" xr:uid="{DD1B21BC-FB70-4070-A4B9-06B149F571B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FEE1A-4E14-4234-B623-1FAEB91F9E77}">
  <sheetPr codeName="Full2"/>
  <dimension ref="A1:AD65"/>
  <sheetViews>
    <sheetView zoomScaleNormal="100" workbookViewId="0">
      <pane ySplit="2" topLeftCell="A3" activePane="bottomLeft" state="frozen"/>
      <selection pane="bottomLeft"/>
    </sheetView>
  </sheetViews>
  <sheetFormatPr defaultRowHeight="14.4"/>
  <cols>
    <col min="1" max="1" width="3.5546875" customWidth="1"/>
    <col min="3" max="3" width="9.77734375" customWidth="1"/>
  </cols>
  <sheetData>
    <row r="1" spans="1:30" s="3" customFormat="1" ht="18">
      <c r="A1" s="198"/>
      <c r="B1" s="199" t="s">
        <v>276</v>
      </c>
      <c r="C1" s="199"/>
      <c r="D1" s="198"/>
      <c r="E1" s="198"/>
      <c r="F1" s="198"/>
      <c r="G1" s="198"/>
      <c r="H1" s="198"/>
      <c r="I1" s="198"/>
      <c r="J1" s="198"/>
      <c r="K1" s="198"/>
      <c r="L1" s="198"/>
      <c r="M1"/>
      <c r="N1"/>
      <c r="O1"/>
      <c r="P1"/>
      <c r="Q1"/>
      <c r="R1"/>
      <c r="S1"/>
      <c r="T1"/>
      <c r="U1"/>
      <c r="V1"/>
      <c r="W1"/>
      <c r="X1"/>
      <c r="Y1"/>
      <c r="Z1"/>
      <c r="AA1"/>
      <c r="AB1"/>
      <c r="AC1"/>
      <c r="AD1"/>
    </row>
    <row r="3" spans="1:30">
      <c r="B3" s="127" t="s">
        <v>275</v>
      </c>
    </row>
    <row r="4" spans="1:30" ht="35.4" customHeight="1">
      <c r="B4" s="511" t="s">
        <v>277</v>
      </c>
      <c r="C4" s="511"/>
      <c r="D4" s="511"/>
      <c r="E4" s="511"/>
      <c r="F4" s="511"/>
      <c r="G4" s="511"/>
      <c r="H4" s="511"/>
      <c r="I4" s="511"/>
      <c r="J4" s="511"/>
      <c r="K4" s="511"/>
      <c r="L4" s="511"/>
    </row>
    <row r="5" spans="1:30" ht="31.8" customHeight="1">
      <c r="B5" s="511" t="s">
        <v>879</v>
      </c>
      <c r="C5" s="511"/>
      <c r="D5" s="511"/>
      <c r="E5" s="511"/>
      <c r="F5" s="511"/>
      <c r="G5" s="511"/>
      <c r="H5" s="511"/>
      <c r="I5" s="511"/>
      <c r="J5" s="511"/>
      <c r="K5" s="511"/>
      <c r="L5" s="511"/>
    </row>
    <row r="6" spans="1:30" ht="39" customHeight="1">
      <c r="B6" t="s">
        <v>880</v>
      </c>
    </row>
    <row r="7" spans="1:30" ht="13.2" customHeight="1"/>
    <row r="8" spans="1:30">
      <c r="B8" s="127" t="s">
        <v>276</v>
      </c>
    </row>
    <row r="9" spans="1:30">
      <c r="B9" s="127"/>
    </row>
    <row r="10" spans="1:30">
      <c r="B10" s="512" t="s">
        <v>973</v>
      </c>
      <c r="C10" s="512"/>
      <c r="D10" s="512"/>
      <c r="E10" s="512"/>
      <c r="F10" s="512"/>
      <c r="G10" s="512"/>
      <c r="H10" s="512"/>
      <c r="I10" s="512"/>
      <c r="J10" s="512"/>
      <c r="K10" s="512"/>
      <c r="L10" s="512"/>
    </row>
    <row r="11" spans="1:30">
      <c r="B11" s="513" t="s">
        <v>972</v>
      </c>
      <c r="C11" s="513"/>
      <c r="D11" s="513"/>
      <c r="E11" s="513"/>
      <c r="F11" s="513"/>
      <c r="G11" s="513"/>
      <c r="H11" s="513"/>
      <c r="I11" s="513"/>
      <c r="J11" s="513"/>
      <c r="K11" s="513"/>
      <c r="L11" s="513"/>
    </row>
    <row r="12" spans="1:30">
      <c r="B12" s="377"/>
      <c r="C12" s="377"/>
      <c r="D12" s="377"/>
      <c r="E12" s="377"/>
      <c r="F12" s="377"/>
      <c r="G12" s="377"/>
      <c r="H12" s="377"/>
      <c r="I12" s="377"/>
      <c r="J12" s="377"/>
      <c r="K12" s="377"/>
      <c r="L12" s="377"/>
    </row>
    <row r="13" spans="1:30">
      <c r="B13" s="127" t="s">
        <v>881</v>
      </c>
    </row>
    <row r="14" spans="1:30">
      <c r="B14" s="127"/>
      <c r="C14" s="127" t="s">
        <v>888</v>
      </c>
    </row>
    <row r="15" spans="1:30" ht="27" customHeight="1">
      <c r="B15" s="511" t="s">
        <v>882</v>
      </c>
      <c r="C15" s="511"/>
      <c r="D15" s="511"/>
      <c r="E15" s="511"/>
      <c r="F15" s="511"/>
      <c r="G15" s="511"/>
      <c r="H15" s="511"/>
      <c r="I15" s="511"/>
      <c r="J15" s="511"/>
      <c r="K15" s="511"/>
      <c r="L15" s="511"/>
    </row>
    <row r="16" spans="1:30">
      <c r="B16" s="511" t="s">
        <v>883</v>
      </c>
      <c r="C16" s="511"/>
      <c r="D16" s="511"/>
      <c r="E16" s="511"/>
      <c r="F16" s="511"/>
      <c r="G16" s="511"/>
      <c r="H16" s="511"/>
      <c r="I16" s="511"/>
      <c r="J16" s="511"/>
      <c r="K16" s="511"/>
      <c r="L16" s="511"/>
    </row>
    <row r="17" spans="2:12">
      <c r="B17" s="511" t="s">
        <v>884</v>
      </c>
      <c r="C17" s="511"/>
      <c r="D17" s="511"/>
      <c r="E17" s="511"/>
      <c r="F17" s="511"/>
      <c r="G17" s="511"/>
      <c r="H17" s="511"/>
      <c r="I17" s="511"/>
      <c r="J17" s="511"/>
      <c r="K17" s="511"/>
      <c r="L17" s="511"/>
    </row>
    <row r="18" spans="2:12">
      <c r="B18" s="511" t="s">
        <v>278</v>
      </c>
      <c r="C18" s="511"/>
      <c r="D18" s="511"/>
      <c r="E18" s="511"/>
      <c r="F18" s="511"/>
      <c r="G18" s="511"/>
      <c r="H18" s="511"/>
      <c r="I18" s="511"/>
      <c r="J18" s="511"/>
      <c r="K18" s="511"/>
      <c r="L18" s="511"/>
    </row>
    <row r="19" spans="2:12" ht="39" customHeight="1">
      <c r="B19" s="511" t="s">
        <v>885</v>
      </c>
      <c r="C19" s="511"/>
      <c r="D19" s="511"/>
      <c r="E19" s="511"/>
      <c r="F19" s="511"/>
      <c r="G19" s="511"/>
      <c r="H19" s="511"/>
      <c r="I19" s="511"/>
      <c r="J19" s="511"/>
      <c r="K19" s="511"/>
      <c r="L19" s="511"/>
    </row>
    <row r="20" spans="2:12" ht="34.200000000000003" customHeight="1">
      <c r="B20" s="511" t="s">
        <v>886</v>
      </c>
      <c r="C20" s="511"/>
      <c r="D20" s="511"/>
      <c r="E20" s="511"/>
      <c r="F20" s="511"/>
      <c r="G20" s="511"/>
      <c r="H20" s="511"/>
      <c r="I20" s="511"/>
      <c r="J20" s="511"/>
      <c r="K20" s="511"/>
      <c r="L20" s="511"/>
    </row>
    <row r="21" spans="2:12" ht="76.8" customHeight="1">
      <c r="B21" s="511" t="s">
        <v>887</v>
      </c>
      <c r="C21" s="511"/>
      <c r="D21" s="511"/>
      <c r="E21" s="511"/>
      <c r="F21" s="511"/>
      <c r="G21" s="511"/>
      <c r="H21" s="511"/>
      <c r="I21" s="511"/>
      <c r="J21" s="511"/>
      <c r="K21" s="511"/>
      <c r="L21" s="511"/>
    </row>
    <row r="22" spans="2:12">
      <c r="B22" s="236"/>
      <c r="C22" s="128" t="s">
        <v>889</v>
      </c>
      <c r="D22" s="236"/>
      <c r="E22" s="236"/>
      <c r="F22" s="236"/>
      <c r="G22" s="236"/>
      <c r="H22" s="236"/>
      <c r="I22" s="236"/>
      <c r="J22" s="236"/>
      <c r="K22" s="236"/>
      <c r="L22" s="236"/>
    </row>
    <row r="23" spans="2:12" ht="49.2" customHeight="1">
      <c r="B23" s="511" t="s">
        <v>281</v>
      </c>
      <c r="C23" s="511"/>
      <c r="D23" s="511"/>
      <c r="E23" s="511"/>
      <c r="F23" s="511"/>
      <c r="G23" s="511"/>
      <c r="H23" s="511"/>
      <c r="I23" s="511"/>
      <c r="J23" s="511"/>
      <c r="K23" s="511"/>
      <c r="L23" s="511"/>
    </row>
    <row r="24" spans="2:12" ht="39" customHeight="1">
      <c r="B24" s="511" t="s">
        <v>279</v>
      </c>
      <c r="C24" s="511"/>
      <c r="D24" s="511"/>
      <c r="E24" s="511"/>
      <c r="F24" s="511"/>
      <c r="G24" s="511"/>
      <c r="H24" s="511"/>
      <c r="I24" s="511"/>
      <c r="J24" s="511"/>
      <c r="K24" s="511"/>
      <c r="L24" s="511"/>
    </row>
    <row r="25" spans="2:12">
      <c r="B25" s="236"/>
      <c r="C25" s="128" t="s">
        <v>890</v>
      </c>
      <c r="D25" s="236"/>
      <c r="E25" s="236"/>
      <c r="F25" s="236"/>
      <c r="G25" s="236"/>
      <c r="H25" s="236"/>
      <c r="I25" s="236"/>
      <c r="J25" s="236"/>
      <c r="K25" s="236"/>
      <c r="L25" s="236"/>
    </row>
    <row r="26" spans="2:12">
      <c r="B26" s="511" t="s">
        <v>282</v>
      </c>
      <c r="C26" s="511"/>
      <c r="D26" s="511"/>
      <c r="E26" s="511"/>
      <c r="F26" s="511"/>
      <c r="G26" s="511"/>
      <c r="H26" s="511"/>
      <c r="I26" s="511"/>
      <c r="J26" s="511"/>
      <c r="K26" s="511"/>
      <c r="L26" s="511"/>
    </row>
    <row r="27" spans="2:12">
      <c r="B27" s="511" t="s">
        <v>891</v>
      </c>
      <c r="C27" s="511"/>
      <c r="D27" s="511"/>
      <c r="E27" s="511"/>
      <c r="F27" s="511"/>
      <c r="G27" s="511"/>
      <c r="H27" s="511"/>
      <c r="I27" s="511"/>
      <c r="J27" s="511"/>
      <c r="K27" s="511"/>
      <c r="L27" s="511"/>
    </row>
    <row r="28" spans="2:12" ht="59.4" customHeight="1">
      <c r="B28" s="511" t="s">
        <v>892</v>
      </c>
      <c r="C28" s="511"/>
      <c r="D28" s="511"/>
      <c r="E28" s="511"/>
      <c r="F28" s="511"/>
      <c r="G28" s="511"/>
      <c r="H28" s="511"/>
      <c r="I28" s="511"/>
      <c r="J28" s="511"/>
      <c r="K28" s="511"/>
      <c r="L28" s="511"/>
    </row>
    <row r="29" spans="2:12">
      <c r="B29" s="236"/>
      <c r="C29" s="329" t="s">
        <v>893</v>
      </c>
      <c r="D29" s="236"/>
      <c r="E29" s="236"/>
      <c r="F29" s="236"/>
      <c r="G29" s="236"/>
      <c r="H29" s="236"/>
      <c r="I29" s="236"/>
      <c r="J29" s="236"/>
      <c r="K29" s="236"/>
      <c r="L29" s="236"/>
    </row>
    <row r="30" spans="2:12">
      <c r="B30" s="511" t="s">
        <v>282</v>
      </c>
      <c r="C30" s="511"/>
      <c r="D30" s="511"/>
      <c r="E30" s="511"/>
      <c r="F30" s="511"/>
      <c r="G30" s="511"/>
      <c r="H30" s="511"/>
      <c r="I30" s="511"/>
      <c r="J30" s="511"/>
      <c r="K30" s="511"/>
      <c r="L30" s="511"/>
    </row>
    <row r="31" spans="2:12" ht="31.8" customHeight="1">
      <c r="B31" s="511" t="s">
        <v>894</v>
      </c>
      <c r="C31" s="511"/>
      <c r="D31" s="511"/>
      <c r="E31" s="511"/>
      <c r="F31" s="511"/>
      <c r="G31" s="511"/>
      <c r="H31" s="511"/>
      <c r="I31" s="511"/>
      <c r="J31" s="511"/>
      <c r="K31" s="511"/>
      <c r="L31" s="511"/>
    </row>
    <row r="32" spans="2:12" ht="51" customHeight="1">
      <c r="B32" s="511" t="s">
        <v>895</v>
      </c>
      <c r="C32" s="511"/>
      <c r="D32" s="511"/>
      <c r="E32" s="511"/>
      <c r="F32" s="511"/>
      <c r="G32" s="511"/>
      <c r="H32" s="511"/>
      <c r="I32" s="511"/>
      <c r="J32" s="511"/>
      <c r="K32" s="511"/>
      <c r="L32" s="511"/>
    </row>
    <row r="33" spans="2:12" ht="51" customHeight="1">
      <c r="B33" s="511" t="s">
        <v>908</v>
      </c>
      <c r="C33" s="511"/>
      <c r="D33" s="511"/>
      <c r="E33" s="511"/>
      <c r="F33" s="511"/>
      <c r="G33" s="511"/>
      <c r="H33" s="511"/>
      <c r="I33" s="511"/>
      <c r="J33" s="511"/>
      <c r="K33" s="511"/>
      <c r="L33" s="511"/>
    </row>
    <row r="34" spans="2:12" ht="51" customHeight="1">
      <c r="B34" s="511" t="s">
        <v>909</v>
      </c>
      <c r="C34" s="511"/>
      <c r="D34" s="511"/>
      <c r="E34" s="511"/>
      <c r="F34" s="511"/>
      <c r="G34" s="511"/>
      <c r="H34" s="511"/>
      <c r="I34" s="511"/>
      <c r="J34" s="511"/>
      <c r="K34" s="511"/>
      <c r="L34" s="511"/>
    </row>
    <row r="35" spans="2:12">
      <c r="B35" s="236"/>
      <c r="C35" s="329" t="s">
        <v>910</v>
      </c>
      <c r="D35" s="236"/>
      <c r="E35" s="236"/>
      <c r="F35" s="236"/>
      <c r="G35" s="236"/>
      <c r="H35" s="236"/>
      <c r="I35" s="236"/>
      <c r="J35" s="236"/>
      <c r="K35" s="236"/>
      <c r="L35" s="236"/>
    </row>
    <row r="36" spans="2:12">
      <c r="B36" s="511" t="s">
        <v>911</v>
      </c>
      <c r="C36" s="511"/>
      <c r="D36" s="511"/>
      <c r="E36" s="511"/>
      <c r="F36" s="511"/>
      <c r="G36" s="511"/>
      <c r="H36" s="511"/>
      <c r="I36" s="511"/>
      <c r="J36" s="511"/>
      <c r="K36" s="511"/>
      <c r="L36" s="511"/>
    </row>
    <row r="37" spans="2:12" ht="31.8" customHeight="1">
      <c r="B37" s="511" t="s">
        <v>912</v>
      </c>
      <c r="C37" s="511"/>
      <c r="D37" s="511"/>
      <c r="E37" s="511"/>
      <c r="F37" s="511"/>
      <c r="G37" s="511"/>
      <c r="H37" s="511"/>
      <c r="I37" s="511"/>
      <c r="J37" s="511"/>
      <c r="K37" s="511"/>
      <c r="L37" s="511"/>
    </row>
    <row r="38" spans="2:12" ht="51" customHeight="1">
      <c r="B38" s="511"/>
      <c r="C38" s="511"/>
      <c r="D38" s="511"/>
      <c r="E38" s="511"/>
      <c r="F38" s="511"/>
      <c r="G38" s="511"/>
      <c r="H38" s="511"/>
      <c r="I38" s="511"/>
      <c r="J38" s="511"/>
      <c r="K38" s="511"/>
      <c r="L38" s="511"/>
    </row>
    <row r="39" spans="2:12">
      <c r="B39" s="236"/>
      <c r="C39" s="329" t="s">
        <v>896</v>
      </c>
      <c r="D39" s="236"/>
      <c r="E39" s="236"/>
      <c r="F39" s="236"/>
      <c r="G39" s="236"/>
      <c r="H39" s="236"/>
      <c r="I39" s="236"/>
      <c r="J39" s="236"/>
      <c r="K39" s="236"/>
      <c r="L39" s="236"/>
    </row>
    <row r="40" spans="2:12">
      <c r="B40" s="511" t="s">
        <v>897</v>
      </c>
      <c r="C40" s="511"/>
      <c r="D40" s="511"/>
      <c r="E40" s="511"/>
      <c r="F40" s="511"/>
      <c r="G40" s="511"/>
      <c r="H40" s="511"/>
      <c r="I40" s="511"/>
      <c r="J40" s="511"/>
      <c r="K40" s="511"/>
      <c r="L40" s="511"/>
    </row>
    <row r="41" spans="2:12" ht="42" customHeight="1">
      <c r="B41" s="511" t="s">
        <v>901</v>
      </c>
      <c r="C41" s="511"/>
      <c r="D41" s="511"/>
      <c r="E41" s="511"/>
      <c r="F41" s="511"/>
      <c r="G41" s="511"/>
      <c r="H41" s="511"/>
      <c r="I41" s="511"/>
      <c r="J41" s="511"/>
      <c r="K41" s="511"/>
      <c r="L41" s="511"/>
    </row>
    <row r="42" spans="2:12" ht="50.4" customHeight="1">
      <c r="B42" s="511" t="s">
        <v>280</v>
      </c>
      <c r="C42" s="511"/>
      <c r="D42" s="511"/>
      <c r="E42" s="511"/>
      <c r="F42" s="511"/>
      <c r="G42" s="511"/>
      <c r="H42" s="511"/>
      <c r="I42" s="511"/>
      <c r="J42" s="511"/>
      <c r="K42" s="511"/>
      <c r="L42" s="511"/>
    </row>
    <row r="43" spans="2:12" ht="32.4" customHeight="1">
      <c r="B43" s="511" t="s">
        <v>898</v>
      </c>
      <c r="C43" s="511"/>
      <c r="D43" s="511"/>
      <c r="E43" s="511"/>
      <c r="F43" s="511"/>
      <c r="G43" s="511"/>
      <c r="H43" s="511"/>
      <c r="I43" s="511"/>
      <c r="J43" s="511"/>
      <c r="K43" s="511"/>
      <c r="L43" s="511"/>
    </row>
    <row r="44" spans="2:12" ht="37.200000000000003" customHeight="1">
      <c r="B44" s="511" t="s">
        <v>283</v>
      </c>
      <c r="C44" s="511"/>
      <c r="D44" s="511"/>
      <c r="E44" s="511"/>
      <c r="F44" s="511"/>
      <c r="G44" s="511"/>
      <c r="H44" s="511"/>
      <c r="I44" s="511"/>
      <c r="J44" s="511"/>
      <c r="K44" s="511"/>
      <c r="L44" s="511"/>
    </row>
    <row r="45" spans="2:12" ht="39" customHeight="1">
      <c r="B45" s="511" t="s">
        <v>899</v>
      </c>
      <c r="C45" s="511"/>
      <c r="D45" s="511"/>
      <c r="E45" s="511"/>
      <c r="F45" s="511"/>
      <c r="G45" s="511"/>
      <c r="H45" s="511"/>
      <c r="I45" s="511"/>
      <c r="J45" s="511"/>
      <c r="K45" s="511"/>
      <c r="L45" s="511"/>
    </row>
    <row r="46" spans="2:12" ht="70.2" customHeight="1">
      <c r="B46" s="511" t="s">
        <v>902</v>
      </c>
      <c r="C46" s="511"/>
      <c r="D46" s="511"/>
      <c r="E46" s="511"/>
      <c r="F46" s="511"/>
      <c r="G46" s="511"/>
      <c r="H46" s="511"/>
      <c r="I46" s="511"/>
      <c r="J46" s="511"/>
      <c r="K46" s="511"/>
      <c r="L46" s="511"/>
    </row>
    <row r="47" spans="2:12" ht="33" customHeight="1">
      <c r="B47" s="511" t="s">
        <v>900</v>
      </c>
      <c r="C47" s="511"/>
      <c r="D47" s="511"/>
      <c r="E47" s="511"/>
      <c r="F47" s="511"/>
      <c r="G47" s="511"/>
      <c r="H47" s="511"/>
      <c r="I47" s="511"/>
      <c r="J47" s="511"/>
      <c r="K47" s="511"/>
      <c r="L47" s="511"/>
    </row>
    <row r="49" spans="2:12">
      <c r="B49" s="127" t="s">
        <v>903</v>
      </c>
    </row>
    <row r="50" spans="2:12">
      <c r="B50" s="511" t="s">
        <v>904</v>
      </c>
      <c r="C50" s="511"/>
      <c r="D50" s="511"/>
      <c r="E50" s="511"/>
      <c r="F50" s="511"/>
      <c r="G50" s="511"/>
      <c r="H50" s="511"/>
      <c r="I50" s="511"/>
      <c r="J50" s="511"/>
      <c r="K50" s="511"/>
      <c r="L50" s="511"/>
    </row>
    <row r="51" spans="2:12">
      <c r="B51" s="511" t="s">
        <v>905</v>
      </c>
      <c r="C51" s="511"/>
      <c r="D51" s="511"/>
      <c r="E51" s="511"/>
      <c r="F51" s="511"/>
      <c r="G51" s="511"/>
      <c r="H51" s="511"/>
      <c r="I51" s="511"/>
      <c r="J51" s="511"/>
      <c r="K51" s="511"/>
      <c r="L51" s="511"/>
    </row>
    <row r="52" spans="2:12">
      <c r="B52" s="511" t="s">
        <v>906</v>
      </c>
      <c r="C52" s="511"/>
      <c r="D52" s="511"/>
      <c r="E52" s="511"/>
      <c r="F52" s="511"/>
      <c r="G52" s="511"/>
      <c r="H52" s="511"/>
      <c r="I52" s="511"/>
      <c r="J52" s="511"/>
      <c r="K52" s="511"/>
      <c r="L52" s="511"/>
    </row>
    <row r="53" spans="2:12">
      <c r="B53" s="511" t="s">
        <v>907</v>
      </c>
      <c r="C53" s="511"/>
      <c r="D53" s="511"/>
      <c r="E53" s="511"/>
      <c r="F53" s="511"/>
      <c r="G53" s="511"/>
      <c r="H53" s="511"/>
      <c r="I53" s="511"/>
      <c r="J53" s="511"/>
      <c r="K53" s="511"/>
      <c r="L53" s="511"/>
    </row>
    <row r="54" spans="2:12">
      <c r="B54" s="511" t="s">
        <v>914</v>
      </c>
      <c r="C54" s="511"/>
      <c r="D54" s="511"/>
      <c r="E54" s="511"/>
      <c r="F54" s="511"/>
      <c r="G54" s="511"/>
      <c r="H54" s="511"/>
      <c r="I54" s="511"/>
      <c r="J54" s="511"/>
      <c r="K54" s="511"/>
      <c r="L54" s="511"/>
    </row>
    <row r="55" spans="2:12" ht="31.8" customHeight="1">
      <c r="B55" s="511" t="s">
        <v>913</v>
      </c>
      <c r="C55" s="511"/>
      <c r="D55" s="511"/>
      <c r="E55" s="511"/>
      <c r="F55" s="511"/>
      <c r="G55" s="511"/>
      <c r="H55" s="511"/>
      <c r="I55" s="511"/>
      <c r="J55" s="511"/>
      <c r="K55" s="511"/>
      <c r="L55" s="511"/>
    </row>
    <row r="56" spans="2:12">
      <c r="B56" s="236"/>
      <c r="C56" s="236"/>
      <c r="D56" s="236"/>
      <c r="E56" s="236"/>
      <c r="F56" s="236"/>
      <c r="G56" s="236"/>
      <c r="H56" s="236"/>
      <c r="I56" s="236"/>
      <c r="J56" s="236"/>
      <c r="K56" s="236"/>
      <c r="L56" s="236"/>
    </row>
    <row r="57" spans="2:12">
      <c r="B57" s="127" t="s">
        <v>915</v>
      </c>
    </row>
    <row r="58" spans="2:12" ht="66.599999999999994" customHeight="1">
      <c r="B58" s="511" t="s">
        <v>284</v>
      </c>
      <c r="C58" s="511"/>
      <c r="D58" s="511"/>
      <c r="E58" s="511"/>
      <c r="F58" s="511"/>
      <c r="G58" s="511"/>
      <c r="H58" s="511"/>
      <c r="I58" s="511"/>
      <c r="J58" s="511"/>
      <c r="K58" s="511"/>
      <c r="L58" s="511"/>
    </row>
    <row r="59" spans="2:12" ht="42" customHeight="1">
      <c r="B59" s="511" t="s">
        <v>285</v>
      </c>
      <c r="C59" s="511"/>
      <c r="D59" s="511"/>
      <c r="E59" s="511"/>
      <c r="F59" s="511"/>
      <c r="G59" s="511"/>
      <c r="H59" s="511"/>
      <c r="I59" s="511"/>
      <c r="J59" s="511"/>
      <c r="K59" s="511"/>
      <c r="L59" s="511"/>
    </row>
    <row r="60" spans="2:12" ht="38.4" customHeight="1">
      <c r="B60" s="511" t="s">
        <v>286</v>
      </c>
      <c r="C60" s="511"/>
      <c r="D60" s="511"/>
      <c r="E60" s="511"/>
      <c r="F60" s="511"/>
      <c r="G60" s="511"/>
      <c r="H60" s="511"/>
      <c r="I60" s="511"/>
      <c r="J60" s="511"/>
      <c r="K60" s="511"/>
      <c r="L60" s="511"/>
    </row>
    <row r="61" spans="2:12" ht="28.8" customHeight="1">
      <c r="B61" s="511" t="s">
        <v>916</v>
      </c>
      <c r="C61" s="511"/>
      <c r="D61" s="511"/>
      <c r="E61" s="511"/>
      <c r="F61" s="511"/>
      <c r="G61" s="511"/>
      <c r="H61" s="511"/>
      <c r="I61" s="511"/>
      <c r="J61" s="511"/>
      <c r="K61" s="511"/>
      <c r="L61" s="511"/>
    </row>
    <row r="62" spans="2:12">
      <c r="B62" t="s">
        <v>917</v>
      </c>
    </row>
    <row r="63" spans="2:12">
      <c r="B63" t="s">
        <v>918</v>
      </c>
    </row>
    <row r="65" spans="2:2">
      <c r="B65" t="s">
        <v>287</v>
      </c>
    </row>
  </sheetData>
  <sheetProtection sheet="1" objects="1" scenarios="1"/>
  <mergeCells count="42">
    <mergeCell ref="B60:L60"/>
    <mergeCell ref="B61:L61"/>
    <mergeCell ref="B30:L30"/>
    <mergeCell ref="B31:L31"/>
    <mergeCell ref="B32:L32"/>
    <mergeCell ref="B59:L59"/>
    <mergeCell ref="B46:L46"/>
    <mergeCell ref="B44:L44"/>
    <mergeCell ref="B58:L58"/>
    <mergeCell ref="B45:L45"/>
    <mergeCell ref="B47:L47"/>
    <mergeCell ref="B50:L50"/>
    <mergeCell ref="B51:L51"/>
    <mergeCell ref="B52:L52"/>
    <mergeCell ref="B53:L53"/>
    <mergeCell ref="B54:L54"/>
    <mergeCell ref="B55:L55"/>
    <mergeCell ref="B17:L17"/>
    <mergeCell ref="B18:L18"/>
    <mergeCell ref="B19:L19"/>
    <mergeCell ref="B20:L20"/>
    <mergeCell ref="B21:L21"/>
    <mergeCell ref="B24:L24"/>
    <mergeCell ref="B42:L42"/>
    <mergeCell ref="B23:L23"/>
    <mergeCell ref="B43:L43"/>
    <mergeCell ref="B33:L33"/>
    <mergeCell ref="B26:L26"/>
    <mergeCell ref="B27:L27"/>
    <mergeCell ref="B28:L28"/>
    <mergeCell ref="B40:L40"/>
    <mergeCell ref="B41:L41"/>
    <mergeCell ref="B36:L36"/>
    <mergeCell ref="B37:L37"/>
    <mergeCell ref="B38:L38"/>
    <mergeCell ref="B34:L34"/>
    <mergeCell ref="B4:L4"/>
    <mergeCell ref="B5:L5"/>
    <mergeCell ref="B15:L15"/>
    <mergeCell ref="B10:L10"/>
    <mergeCell ref="B16:L16"/>
    <mergeCell ref="B11:L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4383B-3358-4E2F-97CE-8FBA8225CCAC}">
  <sheetPr codeName="Full3">
    <tabColor theme="3" tint="0.499984740745262"/>
  </sheetPr>
  <dimension ref="A1:T108"/>
  <sheetViews>
    <sheetView showGridLines="0" view="pageBreakPreview" zoomScaleNormal="85" zoomScaleSheetLayoutView="100" workbookViewId="0">
      <pane ySplit="3" topLeftCell="A4" activePane="bottomLeft" state="frozen"/>
      <selection activeCell="E91" sqref="E91"/>
      <selection pane="bottomLeft" activeCell="C1" sqref="C1"/>
    </sheetView>
  </sheetViews>
  <sheetFormatPr defaultRowHeight="14.4"/>
  <cols>
    <col min="1" max="1" width="3.44140625" style="3" customWidth="1"/>
    <col min="2" max="2" width="19.21875" style="3" customWidth="1"/>
    <col min="3" max="3" width="9.109375" style="3" bestFit="1" customWidth="1"/>
    <col min="4" max="6" width="8.88671875" style="3"/>
    <col min="7" max="7" width="11.6640625" style="3" customWidth="1"/>
    <col min="8" max="8" width="8.88671875" style="3"/>
    <col min="9" max="9" width="10.44140625" style="3" customWidth="1"/>
    <col min="10" max="10" width="8.88671875" style="3"/>
    <col min="11" max="11" width="20.109375" style="3" customWidth="1"/>
    <col min="12" max="12" width="4.88671875" style="3" customWidth="1"/>
    <col min="13" max="13" width="9.33203125" style="3" bestFit="1" customWidth="1"/>
    <col min="14" max="16384" width="8.88671875" style="3"/>
  </cols>
  <sheetData>
    <row r="1" spans="1:12" ht="18">
      <c r="A1" s="112" t="s">
        <v>142</v>
      </c>
      <c r="C1" s="368"/>
      <c r="D1" s="345"/>
      <c r="E1" s="345"/>
      <c r="F1" s="346"/>
      <c r="G1" s="346"/>
      <c r="I1" s="112" t="s">
        <v>143</v>
      </c>
      <c r="J1" s="369"/>
    </row>
    <row r="2" spans="1:12" ht="18">
      <c r="A2" s="150" t="s">
        <v>463</v>
      </c>
      <c r="B2" s="150"/>
      <c r="C2" s="514"/>
      <c r="D2" s="514"/>
      <c r="E2" s="514"/>
      <c r="F2" s="514"/>
      <c r="G2" s="514"/>
      <c r="I2" s="112"/>
      <c r="J2" s="45"/>
    </row>
    <row r="3" spans="1:12" ht="18">
      <c r="A3" s="198"/>
      <c r="B3" s="198"/>
      <c r="C3" s="199" t="s">
        <v>342</v>
      </c>
      <c r="D3" s="198"/>
      <c r="E3" s="198"/>
      <c r="F3" s="198"/>
      <c r="G3" s="198"/>
      <c r="H3" s="198"/>
      <c r="I3" s="198"/>
      <c r="J3" s="198"/>
      <c r="K3" s="198"/>
      <c r="L3" s="198"/>
    </row>
    <row r="4" spans="1:12" ht="18">
      <c r="C4" s="227"/>
    </row>
    <row r="5" spans="1:12">
      <c r="B5" s="1" t="s">
        <v>357</v>
      </c>
      <c r="C5" s="1"/>
      <c r="D5" s="1"/>
      <c r="E5" s="1"/>
      <c r="F5" s="1"/>
      <c r="G5" s="1"/>
      <c r="H5" s="1"/>
      <c r="I5" s="1"/>
      <c r="J5" s="1"/>
      <c r="K5" s="1"/>
    </row>
    <row r="6" spans="1:12">
      <c r="B6" s="382" t="s">
        <v>416</v>
      </c>
      <c r="C6" s="382"/>
      <c r="D6" s="383"/>
      <c r="E6" s="384"/>
      <c r="G6" s="3" t="s">
        <v>923</v>
      </c>
    </row>
    <row r="7" spans="1:12">
      <c r="B7" s="385" t="s">
        <v>355</v>
      </c>
      <c r="C7" s="385"/>
      <c r="D7" s="531"/>
      <c r="E7" s="531"/>
      <c r="G7" s="516"/>
      <c r="H7" s="517"/>
      <c r="I7" s="517"/>
      <c r="J7" s="517"/>
      <c r="K7" s="518"/>
    </row>
    <row r="8" spans="1:12">
      <c r="B8" s="385" t="s">
        <v>352</v>
      </c>
      <c r="C8" s="386"/>
      <c r="D8" s="387"/>
      <c r="E8" s="388" t="s">
        <v>20</v>
      </c>
      <c r="G8" s="519"/>
      <c r="H8" s="520"/>
      <c r="I8" s="520"/>
      <c r="J8" s="520"/>
      <c r="K8" s="521"/>
    </row>
    <row r="9" spans="1:12">
      <c r="B9" s="389" t="s">
        <v>343</v>
      </c>
      <c r="C9" s="385"/>
      <c r="D9" s="390"/>
      <c r="E9" s="388"/>
      <c r="G9" s="519"/>
      <c r="H9" s="520"/>
      <c r="I9" s="520"/>
      <c r="J9" s="520"/>
      <c r="K9" s="521"/>
    </row>
    <row r="10" spans="1:12">
      <c r="B10" s="385" t="s">
        <v>353</v>
      </c>
      <c r="C10" s="385"/>
      <c r="D10" s="391"/>
      <c r="E10" s="385" t="s">
        <v>20</v>
      </c>
      <c r="G10" s="519"/>
      <c r="H10" s="520"/>
      <c r="I10" s="520"/>
      <c r="J10" s="520"/>
      <c r="K10" s="521"/>
    </row>
    <row r="11" spans="1:12">
      <c r="B11" s="385" t="s">
        <v>97</v>
      </c>
      <c r="C11" s="385"/>
      <c r="D11" s="536"/>
      <c r="E11" s="536"/>
      <c r="G11" s="519"/>
      <c r="H11" s="520"/>
      <c r="I11" s="520"/>
      <c r="J11" s="520"/>
      <c r="K11" s="521"/>
    </row>
    <row r="12" spans="1:12">
      <c r="B12" s="385" t="s">
        <v>3</v>
      </c>
      <c r="C12" s="386"/>
      <c r="D12" s="392"/>
      <c r="E12" s="388" t="s">
        <v>4</v>
      </c>
      <c r="G12" s="519"/>
      <c r="H12" s="520"/>
      <c r="I12" s="520"/>
      <c r="J12" s="520"/>
      <c r="K12" s="521"/>
    </row>
    <row r="13" spans="1:12">
      <c r="B13" s="385" t="s">
        <v>110</v>
      </c>
      <c r="C13" s="385"/>
      <c r="D13" s="392"/>
      <c r="E13" s="388" t="s">
        <v>4</v>
      </c>
      <c r="G13" s="519"/>
      <c r="H13" s="520"/>
      <c r="I13" s="520"/>
      <c r="J13" s="520"/>
      <c r="K13" s="521"/>
    </row>
    <row r="14" spans="1:12">
      <c r="G14" s="522"/>
      <c r="H14" s="523"/>
      <c r="I14" s="523"/>
      <c r="J14" s="523"/>
      <c r="K14" s="524"/>
    </row>
    <row r="15" spans="1:12">
      <c r="B15" s="1" t="s">
        <v>331</v>
      </c>
      <c r="C15" s="1"/>
      <c r="D15" s="1"/>
      <c r="E15" s="1"/>
      <c r="F15" s="1"/>
      <c r="G15" s="1"/>
      <c r="H15" s="1"/>
      <c r="I15" s="1"/>
      <c r="J15" s="1"/>
      <c r="K15" s="1"/>
    </row>
    <row r="16" spans="1:12">
      <c r="B16" s="382" t="s">
        <v>78</v>
      </c>
      <c r="C16" s="383"/>
      <c r="D16" s="382" t="s">
        <v>358</v>
      </c>
      <c r="E16" s="382"/>
    </row>
    <row r="17" spans="2:11">
      <c r="B17" s="385" t="s">
        <v>79</v>
      </c>
      <c r="C17" s="393"/>
      <c r="D17" s="477"/>
      <c r="E17" s="477"/>
    </row>
    <row r="18" spans="2:11">
      <c r="B18" s="385" t="s">
        <v>80</v>
      </c>
      <c r="C18" s="394"/>
      <c r="D18" s="385" t="s">
        <v>71</v>
      </c>
      <c r="E18" s="385"/>
    </row>
    <row r="19" spans="2:11">
      <c r="B19" s="385" t="s">
        <v>81</v>
      </c>
      <c r="C19" s="395"/>
      <c r="D19" s="385"/>
      <c r="E19" s="385"/>
    </row>
    <row r="20" spans="2:11">
      <c r="B20" s="385" t="s">
        <v>929</v>
      </c>
      <c r="C20" s="396">
        <f>+C16*C18*C19</f>
        <v>0</v>
      </c>
      <c r="D20" s="385" t="s">
        <v>141</v>
      </c>
      <c r="E20" s="385"/>
    </row>
    <row r="21" spans="2:11">
      <c r="B21" s="385" t="s">
        <v>82</v>
      </c>
      <c r="C21" s="394"/>
      <c r="D21" s="385" t="s">
        <v>1</v>
      </c>
      <c r="E21" s="385"/>
    </row>
    <row r="22" spans="2:11">
      <c r="B22" s="385" t="s">
        <v>83</v>
      </c>
      <c r="C22" s="394"/>
      <c r="D22" s="385" t="s">
        <v>1</v>
      </c>
      <c r="E22" s="385"/>
    </row>
    <row r="23" spans="2:11">
      <c r="B23" s="389" t="s">
        <v>1051</v>
      </c>
      <c r="C23" s="397"/>
      <c r="D23" s="385" t="s">
        <v>88</v>
      </c>
      <c r="E23" s="385"/>
    </row>
    <row r="25" spans="2:11">
      <c r="B25" s="1" t="s">
        <v>332</v>
      </c>
      <c r="C25" s="1"/>
      <c r="D25" s="1"/>
      <c r="E25" s="42"/>
      <c r="F25" s="42"/>
      <c r="G25" s="42"/>
      <c r="H25" s="42"/>
      <c r="I25" s="42"/>
      <c r="J25" s="42"/>
      <c r="K25" s="42"/>
    </row>
    <row r="26" spans="2:11">
      <c r="C26" s="142" t="s">
        <v>302</v>
      </c>
      <c r="D26" s="142" t="s">
        <v>304</v>
      </c>
      <c r="E26" s="143" t="s">
        <v>303</v>
      </c>
    </row>
    <row r="27" spans="2:11">
      <c r="C27" s="33" t="s">
        <v>300</v>
      </c>
      <c r="D27" s="33" t="s">
        <v>403</v>
      </c>
      <c r="E27" s="144" t="s">
        <v>138</v>
      </c>
    </row>
    <row r="28" spans="2:11">
      <c r="B28" s="11" t="s">
        <v>306</v>
      </c>
      <c r="C28" s="336"/>
      <c r="D28" s="337"/>
      <c r="E28" s="337"/>
    </row>
    <row r="29" spans="2:11">
      <c r="B29" s="11" t="s">
        <v>307</v>
      </c>
      <c r="C29" s="336"/>
      <c r="D29" s="337"/>
      <c r="E29" s="337"/>
    </row>
    <row r="30" spans="2:11">
      <c r="B30" s="11" t="s">
        <v>329</v>
      </c>
      <c r="C30" s="336"/>
      <c r="D30" s="337"/>
      <c r="E30" s="337"/>
    </row>
    <row r="31" spans="2:11">
      <c r="B31" s="11" t="s">
        <v>94</v>
      </c>
      <c r="C31" s="37">
        <f>+CALCULS_ACTUAL!D38</f>
        <v>0</v>
      </c>
      <c r="D31" s="30"/>
      <c r="E31" s="20">
        <f>SUM(E28:E30)</f>
        <v>0</v>
      </c>
      <c r="F31" s="151"/>
    </row>
    <row r="32" spans="2:11">
      <c r="B32" s="398" t="s">
        <v>127</v>
      </c>
      <c r="C32" s="398"/>
      <c r="D32" s="399"/>
      <c r="E32" s="398" t="s">
        <v>1</v>
      </c>
    </row>
    <row r="33" spans="1:20">
      <c r="B33" s="385" t="s">
        <v>128</v>
      </c>
      <c r="C33" s="385"/>
      <c r="D33" s="394"/>
      <c r="E33" s="385" t="s">
        <v>1</v>
      </c>
    </row>
    <row r="34" spans="1:20">
      <c r="B34" s="385" t="s">
        <v>87</v>
      </c>
      <c r="C34" s="385"/>
      <c r="D34" s="397"/>
      <c r="E34" s="385" t="s">
        <v>88</v>
      </c>
    </row>
    <row r="36" spans="1:20">
      <c r="A36" s="2"/>
      <c r="B36" s="1" t="s">
        <v>333</v>
      </c>
      <c r="C36" s="1"/>
      <c r="D36" s="1"/>
      <c r="E36" s="1"/>
      <c r="F36" s="1"/>
      <c r="G36" s="1"/>
      <c r="H36" s="1"/>
      <c r="I36" s="1"/>
      <c r="J36" s="1"/>
      <c r="K36" s="1"/>
    </row>
    <row r="37" spans="1:20" ht="24" customHeight="1">
      <c r="A37" s="2"/>
      <c r="B37" s="515" t="s">
        <v>404</v>
      </c>
      <c r="C37" s="515"/>
      <c r="D37" s="515"/>
      <c r="E37" s="515"/>
      <c r="F37" s="515"/>
      <c r="G37" s="515"/>
      <c r="H37" s="515"/>
      <c r="I37" s="515"/>
      <c r="J37" s="515"/>
      <c r="K37" s="515"/>
    </row>
    <row r="38" spans="1:20">
      <c r="B38" s="382" t="s">
        <v>334</v>
      </c>
      <c r="C38" s="382"/>
      <c r="D38" s="400"/>
      <c r="E38" s="382" t="s">
        <v>1</v>
      </c>
    </row>
    <row r="39" spans="1:20">
      <c r="B39" s="385" t="s">
        <v>335</v>
      </c>
      <c r="C39" s="385"/>
      <c r="D39" s="401"/>
      <c r="E39" s="385" t="s">
        <v>1</v>
      </c>
    </row>
    <row r="40" spans="1:20">
      <c r="B40" s="385" t="s">
        <v>336</v>
      </c>
      <c r="C40" s="385"/>
      <c r="D40" s="401"/>
      <c r="E40" s="385" t="s">
        <v>1</v>
      </c>
    </row>
    <row r="41" spans="1:20">
      <c r="B41" s="385" t="s">
        <v>106</v>
      </c>
      <c r="C41" s="385"/>
      <c r="D41" s="397"/>
      <c r="E41" s="385" t="s">
        <v>961</v>
      </c>
    </row>
    <row r="42" spans="1:20">
      <c r="B42" s="385" t="s">
        <v>366</v>
      </c>
      <c r="C42" s="385"/>
      <c r="D42" s="402"/>
      <c r="E42" s="385" t="s">
        <v>960</v>
      </c>
    </row>
    <row r="44" spans="1:20" ht="15" thickBot="1">
      <c r="B44" s="2" t="s">
        <v>327</v>
      </c>
      <c r="M44" s="2"/>
    </row>
    <row r="45" spans="1:20" ht="22.8" customHeight="1" thickBot="1">
      <c r="B45" s="2"/>
      <c r="D45" s="532" t="s">
        <v>322</v>
      </c>
      <c r="E45" s="533"/>
      <c r="F45" s="528" t="s">
        <v>319</v>
      </c>
      <c r="G45" s="529"/>
      <c r="H45" s="529"/>
      <c r="I45" s="530"/>
      <c r="M45" s="2"/>
    </row>
    <row r="46" spans="1:20" ht="29.4" customHeight="1">
      <c r="B46" s="13"/>
      <c r="C46" s="208"/>
      <c r="D46" s="212"/>
      <c r="E46" s="212"/>
      <c r="F46" s="534"/>
      <c r="G46" s="535"/>
      <c r="H46" s="526"/>
      <c r="I46" s="527"/>
      <c r="T46"/>
    </row>
    <row r="47" spans="1:20" ht="47.4" customHeight="1">
      <c r="B47" s="13" t="s">
        <v>328</v>
      </c>
      <c r="C47" s="208"/>
      <c r="D47" s="213" t="s">
        <v>323</v>
      </c>
      <c r="E47" s="213" t="s">
        <v>324</v>
      </c>
      <c r="F47" s="206" t="s">
        <v>323</v>
      </c>
      <c r="G47" s="207" t="s">
        <v>325</v>
      </c>
      <c r="H47" s="206" t="s">
        <v>324</v>
      </c>
      <c r="I47" s="207" t="s">
        <v>326</v>
      </c>
      <c r="J47" s="14" t="s">
        <v>34</v>
      </c>
      <c r="T47"/>
    </row>
    <row r="48" spans="1:20">
      <c r="B48" s="17" t="s">
        <v>16</v>
      </c>
      <c r="C48" s="29" t="s">
        <v>17</v>
      </c>
      <c r="D48" s="214" t="s">
        <v>18</v>
      </c>
      <c r="E48" s="214" t="s">
        <v>18</v>
      </c>
      <c r="F48" s="202" t="s">
        <v>18</v>
      </c>
      <c r="G48" s="203" t="s">
        <v>16</v>
      </c>
      <c r="H48" s="202" t="s">
        <v>18</v>
      </c>
      <c r="I48" s="203" t="s">
        <v>16</v>
      </c>
      <c r="J48" s="447" t="s">
        <v>18</v>
      </c>
    </row>
    <row r="49" spans="2:11">
      <c r="B49" s="17">
        <v>15</v>
      </c>
      <c r="C49" s="209" t="s">
        <v>22</v>
      </c>
      <c r="D49" s="342"/>
      <c r="E49" s="342"/>
      <c r="F49" s="341"/>
      <c r="G49" s="343"/>
      <c r="H49" s="341"/>
      <c r="I49" s="343"/>
      <c r="J49" s="447">
        <f>+D49+E49+F49+H49</f>
        <v>0</v>
      </c>
    </row>
    <row r="50" spans="2:11">
      <c r="B50" s="17">
        <v>22</v>
      </c>
      <c r="C50" s="210" t="s">
        <v>23</v>
      </c>
      <c r="D50" s="342"/>
      <c r="E50" s="342"/>
      <c r="F50" s="341"/>
      <c r="G50" s="343"/>
      <c r="H50" s="341"/>
      <c r="I50" s="343"/>
      <c r="J50" s="447">
        <f t="shared" ref="J50:J59" si="0">+D50+E50+F50+H50</f>
        <v>0</v>
      </c>
    </row>
    <row r="51" spans="2:11">
      <c r="B51" s="17">
        <v>28</v>
      </c>
      <c r="C51" s="13">
        <v>1</v>
      </c>
      <c r="D51" s="342"/>
      <c r="E51" s="342"/>
      <c r="F51" s="341"/>
      <c r="G51" s="343"/>
      <c r="H51" s="341"/>
      <c r="I51" s="343"/>
      <c r="J51" s="447">
        <f t="shared" si="0"/>
        <v>0</v>
      </c>
    </row>
    <row r="52" spans="2:11">
      <c r="B52" s="17">
        <v>35</v>
      </c>
      <c r="C52" s="211">
        <v>1.25</v>
      </c>
      <c r="D52" s="342"/>
      <c r="E52" s="342"/>
      <c r="F52" s="341"/>
      <c r="G52" s="343"/>
      <c r="H52" s="341"/>
      <c r="I52" s="343"/>
      <c r="J52" s="447">
        <f t="shared" si="0"/>
        <v>0</v>
      </c>
    </row>
    <row r="53" spans="2:11">
      <c r="B53" s="17">
        <v>42</v>
      </c>
      <c r="C53" s="211">
        <v>1.5</v>
      </c>
      <c r="D53" s="342"/>
      <c r="E53" s="342"/>
      <c r="F53" s="341"/>
      <c r="G53" s="343"/>
      <c r="H53" s="341"/>
      <c r="I53" s="343"/>
      <c r="J53" s="447">
        <f t="shared" si="0"/>
        <v>0</v>
      </c>
    </row>
    <row r="54" spans="2:11">
      <c r="B54" s="17">
        <v>48</v>
      </c>
      <c r="C54" s="13">
        <v>2</v>
      </c>
      <c r="D54" s="342"/>
      <c r="E54" s="342"/>
      <c r="F54" s="341"/>
      <c r="G54" s="343"/>
      <c r="H54" s="341"/>
      <c r="I54" s="343"/>
      <c r="J54" s="447">
        <f t="shared" si="0"/>
        <v>0</v>
      </c>
    </row>
    <row r="55" spans="2:11">
      <c r="B55" s="17">
        <v>54</v>
      </c>
      <c r="C55" s="13">
        <v>2</v>
      </c>
      <c r="D55" s="342"/>
      <c r="E55" s="342"/>
      <c r="F55" s="341"/>
      <c r="G55" s="343"/>
      <c r="H55" s="341"/>
      <c r="I55" s="343"/>
      <c r="J55" s="447">
        <f t="shared" si="0"/>
        <v>0</v>
      </c>
    </row>
    <row r="56" spans="2:11">
      <c r="B56" s="17">
        <v>64</v>
      </c>
      <c r="C56" s="211">
        <v>2.5</v>
      </c>
      <c r="D56" s="342"/>
      <c r="E56" s="342"/>
      <c r="F56" s="341"/>
      <c r="G56" s="343"/>
      <c r="H56" s="341"/>
      <c r="I56" s="343"/>
      <c r="J56" s="447">
        <f t="shared" si="0"/>
        <v>0</v>
      </c>
    </row>
    <row r="57" spans="2:11">
      <c r="B57" s="17">
        <v>80</v>
      </c>
      <c r="C57" s="13">
        <v>3</v>
      </c>
      <c r="D57" s="342"/>
      <c r="E57" s="342"/>
      <c r="F57" s="341"/>
      <c r="G57" s="343"/>
      <c r="H57" s="341"/>
      <c r="I57" s="343"/>
      <c r="J57" s="447">
        <f t="shared" si="0"/>
        <v>0</v>
      </c>
    </row>
    <row r="58" spans="2:11">
      <c r="B58" s="17">
        <v>100</v>
      </c>
      <c r="C58" s="13">
        <v>4</v>
      </c>
      <c r="D58" s="342"/>
      <c r="E58" s="342"/>
      <c r="F58" s="341"/>
      <c r="G58" s="343"/>
      <c r="H58" s="341"/>
      <c r="I58" s="343"/>
      <c r="J58" s="447">
        <f t="shared" si="0"/>
        <v>0</v>
      </c>
    </row>
    <row r="59" spans="2:11" ht="15" thickBot="1">
      <c r="B59" s="11" t="s">
        <v>24</v>
      </c>
      <c r="C59" s="134"/>
      <c r="D59" s="215">
        <f>SUM(D49:D58)</f>
        <v>0</v>
      </c>
      <c r="E59" s="215">
        <f>SUM(E49:E58)</f>
        <v>0</v>
      </c>
      <c r="F59" s="204">
        <f>SUM(F49:F58)</f>
        <v>0</v>
      </c>
      <c r="G59" s="205"/>
      <c r="H59" s="204">
        <f>SUM(H49:H58)</f>
        <v>0</v>
      </c>
      <c r="I59" s="205"/>
      <c r="J59" s="447">
        <f t="shared" si="0"/>
        <v>0</v>
      </c>
    </row>
    <row r="61" spans="2:11">
      <c r="B61" s="2" t="s">
        <v>338</v>
      </c>
    </row>
    <row r="62" spans="2:11">
      <c r="B62" s="382" t="s">
        <v>337</v>
      </c>
      <c r="C62" s="382"/>
      <c r="D62" s="499"/>
      <c r="E62" s="382" t="s">
        <v>108</v>
      </c>
      <c r="G62" s="520"/>
      <c r="H62" s="520"/>
      <c r="I62" s="520"/>
      <c r="J62" s="520"/>
      <c r="K62" s="520"/>
    </row>
    <row r="63" spans="2:11">
      <c r="B63" s="385" t="s">
        <v>290</v>
      </c>
      <c r="C63" s="385"/>
      <c r="D63" s="404"/>
      <c r="E63" s="385" t="s">
        <v>291</v>
      </c>
      <c r="G63" s="520"/>
      <c r="H63" s="520"/>
      <c r="I63" s="520"/>
      <c r="J63" s="520"/>
      <c r="K63" s="520"/>
    </row>
    <row r="64" spans="2:11">
      <c r="B64" s="385" t="s">
        <v>296</v>
      </c>
      <c r="C64" s="385"/>
      <c r="D64" s="405" t="str">
        <f>+CALCULS_ACTUAL!L54</f>
        <v>falta cabal</v>
      </c>
      <c r="E64" s="385" t="s">
        <v>1</v>
      </c>
      <c r="G64" s="520"/>
      <c r="H64" s="520"/>
      <c r="I64" s="520"/>
      <c r="J64" s="520"/>
      <c r="K64" s="520"/>
    </row>
    <row r="66" spans="1:12">
      <c r="B66" s="1" t="s">
        <v>417</v>
      </c>
      <c r="C66" s="1"/>
      <c r="D66" s="1"/>
      <c r="E66" s="1"/>
      <c r="F66" s="1"/>
      <c r="G66" s="1"/>
      <c r="H66" s="1"/>
      <c r="I66" s="1"/>
      <c r="J66" s="1"/>
      <c r="K66" s="1"/>
    </row>
    <row r="67" spans="1:12" ht="31.2" customHeight="1">
      <c r="B67" s="515" t="s">
        <v>431</v>
      </c>
      <c r="C67" s="515"/>
      <c r="D67" s="515"/>
      <c r="E67" s="515"/>
      <c r="F67" s="515"/>
      <c r="G67" s="515"/>
      <c r="H67" s="515"/>
      <c r="I67" s="515"/>
      <c r="J67" s="515"/>
      <c r="K67" s="515"/>
    </row>
    <row r="68" spans="1:12">
      <c r="B68" s="382" t="s">
        <v>1059</v>
      </c>
      <c r="C68" s="382"/>
      <c r="D68" s="499"/>
      <c r="E68" s="382" t="s">
        <v>43</v>
      </c>
      <c r="G68" s="520"/>
      <c r="H68" s="520"/>
      <c r="I68" s="520"/>
      <c r="J68" s="520"/>
      <c r="K68" s="520"/>
    </row>
    <row r="69" spans="1:12">
      <c r="B69" s="385" t="s">
        <v>419</v>
      </c>
      <c r="C69" s="385"/>
      <c r="D69" s="402"/>
      <c r="E69" s="385" t="s">
        <v>37</v>
      </c>
      <c r="G69" s="520"/>
      <c r="H69" s="520"/>
      <c r="I69" s="520"/>
      <c r="J69" s="520"/>
      <c r="K69" s="520"/>
    </row>
    <row r="70" spans="1:12">
      <c r="B70" s="385" t="s">
        <v>420</v>
      </c>
      <c r="C70" s="385"/>
      <c r="D70" s="402"/>
      <c r="E70" s="385" t="s">
        <v>421</v>
      </c>
      <c r="G70" s="520"/>
      <c r="H70" s="520"/>
      <c r="I70" s="520"/>
      <c r="J70" s="520"/>
      <c r="K70" s="520"/>
    </row>
    <row r="72" spans="1:12" ht="18">
      <c r="A72" s="216"/>
      <c r="B72" s="216"/>
      <c r="C72" s="217" t="s">
        <v>390</v>
      </c>
      <c r="D72" s="216"/>
      <c r="E72" s="216"/>
      <c r="F72" s="216"/>
      <c r="G72" s="216"/>
      <c r="H72" s="216"/>
      <c r="I72" s="216"/>
      <c r="J72" s="216"/>
      <c r="K72" s="216"/>
      <c r="L72" s="216"/>
    </row>
    <row r="73" spans="1:12">
      <c r="B73" s="129" t="s">
        <v>392</v>
      </c>
      <c r="C73" s="42"/>
      <c r="D73" s="42"/>
      <c r="E73" s="42"/>
      <c r="F73" s="42"/>
      <c r="G73" s="42"/>
      <c r="H73" s="42"/>
      <c r="I73" s="42"/>
      <c r="J73" s="42"/>
      <c r="K73" s="42"/>
    </row>
    <row r="74" spans="1:12">
      <c r="B74" s="515" t="s">
        <v>348</v>
      </c>
      <c r="C74" s="515"/>
      <c r="D74" s="515"/>
      <c r="E74" s="515"/>
      <c r="F74" s="515"/>
      <c r="G74" s="515"/>
      <c r="H74" s="515"/>
      <c r="I74" s="515"/>
      <c r="J74" s="515"/>
      <c r="K74" s="515"/>
    </row>
    <row r="75" spans="1:12" ht="34.200000000000003" customHeight="1">
      <c r="B75" s="515" t="s">
        <v>347</v>
      </c>
      <c r="C75" s="515"/>
      <c r="D75" s="515"/>
      <c r="E75" s="515"/>
      <c r="F75" s="515"/>
      <c r="G75" s="515"/>
      <c r="H75" s="515"/>
      <c r="I75" s="515"/>
      <c r="J75" s="515"/>
      <c r="K75" s="515"/>
    </row>
    <row r="76" spans="1:12">
      <c r="B76" s="382" t="s">
        <v>96</v>
      </c>
      <c r="C76" s="382"/>
      <c r="D76" s="406"/>
      <c r="E76" s="382" t="s">
        <v>88</v>
      </c>
    </row>
    <row r="77" spans="1:12">
      <c r="B77" s="385" t="s">
        <v>135</v>
      </c>
      <c r="C77" s="385"/>
      <c r="D77" s="393"/>
      <c r="E77" s="385" t="s">
        <v>43</v>
      </c>
    </row>
    <row r="78" spans="1:12">
      <c r="B78" s="129" t="s">
        <v>391</v>
      </c>
      <c r="C78" s="42"/>
      <c r="D78" s="42"/>
      <c r="E78" s="42"/>
      <c r="F78" s="42"/>
      <c r="G78" s="42"/>
      <c r="H78" s="42"/>
      <c r="I78" s="42"/>
      <c r="J78" s="42"/>
      <c r="K78" s="42"/>
    </row>
    <row r="79" spans="1:12" ht="28.8" customHeight="1">
      <c r="B79" s="515" t="s">
        <v>920</v>
      </c>
      <c r="C79" s="515"/>
      <c r="D79" s="515"/>
      <c r="E79" s="515"/>
      <c r="F79" s="515"/>
      <c r="G79" s="515"/>
      <c r="H79" s="515"/>
      <c r="I79" s="515"/>
      <c r="J79" s="515"/>
      <c r="K79" s="515"/>
    </row>
    <row r="80" spans="1:12">
      <c r="B80" s="382" t="s">
        <v>101</v>
      </c>
      <c r="C80" s="382"/>
      <c r="D80" s="407"/>
      <c r="E80" s="382"/>
    </row>
    <row r="81" spans="2:11">
      <c r="B81" s="385" t="s">
        <v>135</v>
      </c>
      <c r="C81" s="385"/>
      <c r="D81" s="393"/>
      <c r="E81" s="385" t="s">
        <v>43</v>
      </c>
    </row>
    <row r="82" spans="2:11">
      <c r="B82" s="129" t="s">
        <v>393</v>
      </c>
      <c r="C82" s="42"/>
      <c r="D82" s="42"/>
      <c r="E82" s="42"/>
      <c r="F82" s="42"/>
      <c r="G82" s="42"/>
      <c r="H82" s="42"/>
      <c r="I82" s="42"/>
      <c r="J82" s="42"/>
      <c r="K82" s="42"/>
    </row>
    <row r="83" spans="2:11">
      <c r="B83" s="515" t="s">
        <v>345</v>
      </c>
      <c r="C83" s="515"/>
      <c r="D83" s="515"/>
      <c r="E83" s="515"/>
      <c r="F83" s="515"/>
      <c r="G83" s="515"/>
      <c r="H83" s="515"/>
      <c r="I83" s="515"/>
      <c r="J83" s="515"/>
      <c r="K83" s="515"/>
    </row>
    <row r="84" spans="2:11">
      <c r="B84" s="515" t="s">
        <v>274</v>
      </c>
      <c r="C84" s="515"/>
      <c r="D84" s="515"/>
      <c r="E84" s="515"/>
      <c r="F84" s="515"/>
      <c r="G84" s="515"/>
      <c r="H84" s="515"/>
      <c r="I84" s="515"/>
      <c r="J84" s="515"/>
      <c r="K84" s="515"/>
    </row>
    <row r="85" spans="2:11">
      <c r="B85" s="3" t="s">
        <v>330</v>
      </c>
      <c r="C85" s="16"/>
    </row>
    <row r="86" spans="2:11">
      <c r="B86" s="3" t="s">
        <v>919</v>
      </c>
      <c r="C86" s="16"/>
    </row>
    <row r="87" spans="2:11">
      <c r="B87" s="382" t="s">
        <v>131</v>
      </c>
      <c r="C87" s="382"/>
      <c r="D87" s="406"/>
      <c r="E87" s="382" t="s">
        <v>1</v>
      </c>
    </row>
    <row r="88" spans="2:11">
      <c r="B88" s="385" t="s">
        <v>135</v>
      </c>
      <c r="C88" s="385"/>
      <c r="D88" s="393"/>
      <c r="E88" s="385" t="s">
        <v>43</v>
      </c>
    </row>
    <row r="89" spans="2:11">
      <c r="B89" s="129" t="s">
        <v>395</v>
      </c>
      <c r="C89" s="42"/>
      <c r="D89" s="42"/>
      <c r="E89" s="42"/>
      <c r="F89" s="42"/>
      <c r="G89" s="42"/>
      <c r="H89" s="42"/>
      <c r="I89" s="42"/>
      <c r="J89" s="42"/>
      <c r="K89" s="42"/>
    </row>
    <row r="90" spans="2:11">
      <c r="B90" s="515" t="s">
        <v>346</v>
      </c>
      <c r="C90" s="515"/>
      <c r="D90" s="515"/>
      <c r="E90" s="515"/>
      <c r="F90" s="515"/>
      <c r="G90" s="515"/>
      <c r="H90" s="515"/>
      <c r="I90" s="515"/>
      <c r="J90" s="515"/>
      <c r="K90" s="515"/>
    </row>
    <row r="91" spans="2:11">
      <c r="B91" s="515" t="s">
        <v>367</v>
      </c>
      <c r="C91" s="515"/>
      <c r="D91" s="515"/>
      <c r="E91" s="515"/>
      <c r="F91" s="515"/>
      <c r="G91" s="515"/>
      <c r="H91" s="515"/>
      <c r="I91" s="515"/>
      <c r="J91" s="515"/>
      <c r="K91" s="515"/>
    </row>
    <row r="92" spans="2:11">
      <c r="B92" s="3" t="s">
        <v>344</v>
      </c>
      <c r="C92" s="16"/>
    </row>
    <row r="93" spans="2:11" ht="43.2">
      <c r="B93" s="8"/>
      <c r="C93" s="10"/>
      <c r="D93" s="15" t="s">
        <v>270</v>
      </c>
      <c r="E93" s="15" t="s">
        <v>368</v>
      </c>
      <c r="F93" s="15" t="s">
        <v>369</v>
      </c>
    </row>
    <row r="94" spans="2:11">
      <c r="B94" s="8" t="s">
        <v>370</v>
      </c>
      <c r="C94" s="10"/>
      <c r="D94" s="193">
        <f>+D38</f>
        <v>0</v>
      </c>
      <c r="E94" s="35">
        <f>+CALCULS_ACTUAL!D150</f>
        <v>0</v>
      </c>
      <c r="F94" s="192" t="str">
        <f>+CALCULS_ACTUAL!E150</f>
        <v>falta cabal</v>
      </c>
    </row>
    <row r="95" spans="2:11">
      <c r="B95" s="8" t="s">
        <v>371</v>
      </c>
      <c r="C95" s="10"/>
      <c r="D95" s="379"/>
      <c r="E95" s="35">
        <f>+CALCULS_ACTUAL!D151</f>
        <v>0</v>
      </c>
      <c r="F95" s="192" t="str">
        <f>+CALCULS_ACTUAL!E151</f>
        <v>falta cabal</v>
      </c>
    </row>
    <row r="96" spans="2:11">
      <c r="B96" s="382" t="s">
        <v>135</v>
      </c>
      <c r="C96" s="382"/>
      <c r="D96" s="406"/>
      <c r="E96" s="382" t="s">
        <v>43</v>
      </c>
    </row>
    <row r="97" spans="2:11">
      <c r="B97" s="129" t="s">
        <v>396</v>
      </c>
      <c r="C97" s="42"/>
      <c r="D97" s="42"/>
      <c r="E97" s="42"/>
      <c r="F97" s="42"/>
      <c r="G97" s="42"/>
      <c r="H97" s="42"/>
      <c r="I97" s="42"/>
      <c r="J97" s="42"/>
      <c r="K97" s="42"/>
    </row>
    <row r="98" spans="2:11" ht="29.4" customHeight="1">
      <c r="B98" s="515" t="s">
        <v>399</v>
      </c>
      <c r="C98" s="515"/>
      <c r="D98" s="515"/>
      <c r="E98" s="515"/>
      <c r="F98" s="515"/>
      <c r="G98" s="515"/>
      <c r="H98" s="515"/>
      <c r="I98" s="515"/>
      <c r="J98" s="515"/>
      <c r="K98" s="515"/>
    </row>
    <row r="99" spans="2:11">
      <c r="B99" s="129" t="s">
        <v>394</v>
      </c>
      <c r="C99" s="42"/>
      <c r="D99" s="42"/>
      <c r="E99" s="42"/>
      <c r="F99" s="42"/>
      <c r="G99" s="42"/>
      <c r="H99" s="42"/>
      <c r="I99" s="42"/>
      <c r="J99" s="42"/>
      <c r="K99" s="42"/>
    </row>
    <row r="100" spans="2:11" ht="32.4" customHeight="1">
      <c r="B100" s="515" t="s">
        <v>397</v>
      </c>
      <c r="C100" s="515"/>
      <c r="D100" s="515"/>
      <c r="E100" s="515"/>
      <c r="F100" s="515"/>
      <c r="G100" s="515"/>
      <c r="H100" s="515"/>
      <c r="I100" s="515"/>
      <c r="J100" s="515"/>
      <c r="K100" s="515"/>
    </row>
    <row r="101" spans="2:11">
      <c r="B101" s="525" t="s">
        <v>398</v>
      </c>
      <c r="C101" s="525"/>
      <c r="D101" s="525"/>
      <c r="E101" s="525"/>
      <c r="F101" s="525"/>
      <c r="G101" s="525"/>
      <c r="H101" s="525"/>
      <c r="I101" s="525"/>
      <c r="J101" s="525"/>
      <c r="K101" s="525"/>
    </row>
    <row r="102" spans="2:11">
      <c r="C102" s="142" t="s">
        <v>302</v>
      </c>
      <c r="D102" s="142" t="s">
        <v>304</v>
      </c>
      <c r="E102" s="142" t="s">
        <v>304</v>
      </c>
      <c r="F102" s="142" t="s">
        <v>379</v>
      </c>
    </row>
    <row r="103" spans="2:11">
      <c r="C103" s="33" t="s">
        <v>300</v>
      </c>
      <c r="D103" s="33" t="s">
        <v>377</v>
      </c>
      <c r="E103" s="33" t="s">
        <v>378</v>
      </c>
      <c r="F103" s="33"/>
    </row>
    <row r="104" spans="2:11">
      <c r="B104" s="11" t="s">
        <v>306</v>
      </c>
      <c r="C104" s="197">
        <f t="shared" ref="C104:D106" si="1">+C28</f>
        <v>0</v>
      </c>
      <c r="D104" s="197">
        <f t="shared" si="1"/>
        <v>0</v>
      </c>
      <c r="E104" s="380"/>
      <c r="F104" s="196">
        <f>+CALCULS_ACTUAL!I231</f>
        <v>0</v>
      </c>
    </row>
    <row r="105" spans="2:11">
      <c r="B105" s="11" t="s">
        <v>307</v>
      </c>
      <c r="C105" s="197">
        <f t="shared" si="1"/>
        <v>0</v>
      </c>
      <c r="D105" s="197">
        <f t="shared" si="1"/>
        <v>0</v>
      </c>
      <c r="E105" s="380"/>
      <c r="F105" s="196">
        <f>+CALCULS_ACTUAL!I232</f>
        <v>0</v>
      </c>
    </row>
    <row r="106" spans="2:11">
      <c r="B106" s="11" t="s">
        <v>329</v>
      </c>
      <c r="C106" s="197">
        <f t="shared" si="1"/>
        <v>0</v>
      </c>
      <c r="D106" s="197">
        <f t="shared" si="1"/>
        <v>0</v>
      </c>
      <c r="E106" s="380"/>
      <c r="F106" s="196">
        <f>+CALCULS_ACTUAL!I233</f>
        <v>0</v>
      </c>
    </row>
    <row r="107" spans="2:11">
      <c r="B107" s="382" t="s">
        <v>135</v>
      </c>
      <c r="C107" s="382"/>
      <c r="D107" s="403"/>
      <c r="E107" s="382" t="s">
        <v>43</v>
      </c>
    </row>
    <row r="108" spans="2:11">
      <c r="C108" s="16"/>
    </row>
  </sheetData>
  <sheetProtection sheet="1" objects="1" scenarios="1"/>
  <mergeCells count="22">
    <mergeCell ref="F46:G46"/>
    <mergeCell ref="B75:K75"/>
    <mergeCell ref="D11:E11"/>
    <mergeCell ref="B37:K37"/>
    <mergeCell ref="G68:K70"/>
    <mergeCell ref="G62:K64"/>
    <mergeCell ref="C2:G2"/>
    <mergeCell ref="B74:K74"/>
    <mergeCell ref="G7:K14"/>
    <mergeCell ref="B101:K101"/>
    <mergeCell ref="B83:K83"/>
    <mergeCell ref="B84:K84"/>
    <mergeCell ref="B90:K90"/>
    <mergeCell ref="B91:K91"/>
    <mergeCell ref="B98:K98"/>
    <mergeCell ref="B100:K100"/>
    <mergeCell ref="B79:K79"/>
    <mergeCell ref="H46:I46"/>
    <mergeCell ref="F45:I45"/>
    <mergeCell ref="B67:K67"/>
    <mergeCell ref="D7:E7"/>
    <mergeCell ref="D45:E45"/>
  </mergeCells>
  <dataValidations count="2">
    <dataValidation allowBlank="1" showInputMessage="1" showErrorMessage="1" promptTitle="Pot.Elec.Sist.Aux" prompt="indicar el sumatori de potència elèctrica del cremador, el ventilador d'aire de combustió i la bomba circuladora del primari i secundari._x000a_" sqref="D10 D12:D13" xr:uid="{6A2E2F6A-4842-463E-A1E2-7E61E9ADD3ED}"/>
    <dataValidation allowBlank="1" showInputMessage="1" showErrorMessage="1" prompt="es pot fer servir l'eina de la pestanya &quot;perfil_us&quot; per estimar els dies d'ús anuals segons el calendari laboral i els festius locals" sqref="C23" xr:uid="{B1044370-FC5D-4863-9A9C-22AF99BFB62E}"/>
  </dataValidations>
  <hyperlinks>
    <hyperlink ref="B9" location="eina_rendiments!A1" display="Rendiment generador" xr:uid="{10EF4C96-BAE4-42C8-9153-246C66BA08B2}"/>
    <hyperlink ref="B23" location="perfil_us!A1" display="Dies de funcionament" xr:uid="{AE50BDD0-FCBB-4710-99D6-31071914A26B}"/>
  </hyperlinks>
  <pageMargins left="0.39370078740157483" right="0.39370078740157483" top="0.74803149606299213" bottom="0.74803149606299213" header="0.31496062992125984" footer="0.31496062992125984"/>
  <pageSetup paperSize="9" scale="66" orientation="portrait" r:id="rId1"/>
  <rowBreaks count="1" manualBreakCount="1">
    <brk id="65" max="11" man="1"/>
  </rowBreaks>
  <drawing r:id="rId2"/>
  <legacyDrawing r:id="rId3"/>
  <extLst>
    <ext xmlns:x14="http://schemas.microsoft.com/office/spreadsheetml/2009/9/main" uri="{78C0D931-6437-407d-A8EE-F0AAD7539E65}">
      <x14:conditionalFormattings>
        <x14:conditionalFormatting xmlns:xm="http://schemas.microsoft.com/office/excel/2006/main">
          <x14:cfRule type="iconSet" priority="4" id="{95D64646-EEF8-4088-BA95-901247E00363}">
            <x14:iconSet iconSet="3Symbols2" custom="1">
              <x14:cfvo type="percent">
                <xm:f>0</xm:f>
              </x14:cfvo>
              <x14:cfvo type="num">
                <xm:f>50</xm:f>
              </x14:cfvo>
              <x14:cfvo type="num" gte="0">
                <xm:f>50</xm:f>
              </x14:cfvo>
              <x14:cfIcon iconSet="3Symbols2" iconId="0"/>
              <x14:cfIcon iconSet="3Symbols2" iconId="2"/>
              <x14:cfIcon iconSet="3Symbols2" iconId="2"/>
            </x14:iconSet>
          </x14:cfRule>
          <xm:sqref>D64</xm:sqref>
        </x14:conditionalFormatting>
        <x14:conditionalFormatting xmlns:xm="http://schemas.microsoft.com/office/excel/2006/main">
          <x14:cfRule type="iconSet" priority="3" id="{D868E7A8-B3D8-4762-BF0B-FC77D19F75F4}">
            <x14:iconSet iconSet="3Symbols2" custom="1">
              <x14:cfvo type="percent">
                <xm:f>0</xm:f>
              </x14:cfvo>
              <x14:cfvo type="num">
                <xm:f>50</xm:f>
              </x14:cfvo>
              <x14:cfvo type="num" gte="0">
                <xm:f>50</xm:f>
              </x14:cfvo>
              <x14:cfIcon iconSet="3Symbols2" iconId="0"/>
              <x14:cfIcon iconSet="3Symbols2" iconId="2"/>
              <x14:cfIcon iconSet="3Symbols2" iconId="2"/>
            </x14:iconSet>
          </x14:cfRule>
          <xm:sqref>F94:F95</xm:sqref>
        </x14:conditionalFormatting>
        <x14:conditionalFormatting xmlns:xm="http://schemas.microsoft.com/office/excel/2006/main">
          <x14:cfRule type="iconSet" priority="1" id="{DE08C328-A9CC-46B1-B17D-ADB2E4AD3C2B}">
            <x14:iconSet iconSet="3Symbols2" custom="1">
              <x14:cfvo type="percent">
                <xm:f>0</xm:f>
              </x14:cfvo>
              <x14:cfvo type="num">
                <xm:f>0</xm:f>
              </x14:cfvo>
              <x14:cfvo type="num" gte="0">
                <xm:f>0</xm:f>
              </x14:cfvo>
              <x14:cfIcon iconSet="3Symbols2" iconId="0"/>
              <x14:cfIcon iconSet="NoIcons" iconId="0"/>
              <x14:cfIcon iconSet="3Symbols2" iconId="2"/>
            </x14:iconSet>
          </x14:cfRule>
          <xm:sqref>F104:F106</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8EFBDFE3-A6DE-47E1-AFE7-4CC9D569686B}">
          <x14:formula1>
            <xm:f>perdues_diposit!$B$9:$H$9</xm:f>
          </x14:formula1>
          <xm:sqref>D28:D30 E104:E106</xm:sqref>
        </x14:dataValidation>
        <x14:dataValidation type="list" allowBlank="1" showInputMessage="1" showErrorMessage="1" xr:uid="{8591486F-1CF4-4B6E-95AE-1B24C8A9F14C}">
          <x14:formula1>
            <xm:f>perdues_diposit!$A$11:$A$32</xm:f>
          </x14:formula1>
          <xm:sqref>C104:D106 C28:C30</xm:sqref>
        </x14:dataValidation>
        <x14:dataValidation type="list" allowBlank="1" showInputMessage="1" showErrorMessage="1" xr:uid="{BFB43458-0CCE-4A38-83A3-89A158B25B94}">
          <x14:formula1>
            <xm:f>desplegables!$A$3:$A$10</xm:f>
          </x14:formula1>
          <xm:sqref>D11:E11</xm:sqref>
        </x14:dataValidation>
        <x14:dataValidation type="list" allowBlank="1" showInputMessage="1" showErrorMessage="1" xr:uid="{E2B7AD64-0684-44AC-991C-FA86128AF9C9}">
          <x14:formula1>
            <xm:f>desplegables!$H$1:$H$10</xm:f>
          </x14:formula1>
          <xm:sqref>D7</xm:sqref>
        </x14:dataValidation>
        <x14:dataValidation type="list" allowBlank="1" showInputMessage="1" showErrorMessage="1" xr:uid="{9978C806-FBE0-4945-9A99-45E5046C82CC}">
          <x14:formula1>
            <xm:f>municipis!$A:$A</xm:f>
          </x14:formula1>
          <xm:sqref>C2:G2</xm:sqref>
        </x14:dataValidation>
        <x14:dataValidation type="list" allowBlank="1" showInputMessage="1" showErrorMessage="1" xr:uid="{9E6F7508-7B58-4784-8AEB-03ACCE5503FE}">
          <x14:formula1>
            <xm:f>perdues_xarxa!$C$27:$J$27</xm:f>
          </x14:formula1>
          <xm:sqref>G49:G58 I49:I58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F8CAE-4588-4EF4-9C43-AD908AEBBF70}">
  <sheetPr codeName="Full4">
    <tabColor theme="3" tint="0.749992370372631"/>
  </sheetPr>
  <dimension ref="A1:AG73"/>
  <sheetViews>
    <sheetView showGridLines="0" view="pageBreakPreview" zoomScale="85" zoomScaleNormal="100" zoomScaleSheetLayoutView="85" workbookViewId="0">
      <pane ySplit="2" topLeftCell="A3" activePane="bottomLeft" state="frozen"/>
      <selection activeCell="E91" sqref="E91"/>
      <selection pane="bottomLeft" activeCell="D5" sqref="D5"/>
    </sheetView>
  </sheetViews>
  <sheetFormatPr defaultRowHeight="14.4"/>
  <cols>
    <col min="1" max="1" width="3.44140625" style="3" customWidth="1"/>
    <col min="2" max="2" width="19.21875" style="3" customWidth="1"/>
    <col min="3" max="3" width="9.109375" style="3" bestFit="1" customWidth="1"/>
    <col min="4" max="4" width="10.77734375" style="3" bestFit="1" customWidth="1"/>
    <col min="5" max="6" width="8.88671875" style="3"/>
    <col min="7" max="7" width="11.6640625" style="3" customWidth="1"/>
    <col min="8" max="9" width="8.88671875" style="3"/>
    <col min="10" max="10" width="10.21875" style="3" customWidth="1"/>
    <col min="11" max="11" width="3.33203125" style="3" customWidth="1"/>
    <col min="12" max="12" width="3.44140625" style="3" customWidth="1"/>
    <col min="13" max="13" width="19.21875" style="3" customWidth="1"/>
    <col min="14" max="14" width="9.109375" style="3" bestFit="1" customWidth="1"/>
    <col min="15" max="17" width="8.88671875" style="3"/>
    <col min="18" max="18" width="11.6640625" style="3" customWidth="1"/>
    <col min="19" max="21" width="8.88671875" style="3"/>
    <col min="22" max="22" width="3.33203125" style="3" customWidth="1"/>
    <col min="23" max="23" width="3.44140625" style="3" customWidth="1"/>
    <col min="24" max="24" width="19.21875" style="3" customWidth="1"/>
    <col min="25" max="25" width="9.109375" style="3" bestFit="1" customWidth="1"/>
    <col min="26" max="28" width="8.88671875" style="3"/>
    <col min="29" max="29" width="11.6640625" style="3" customWidth="1"/>
    <col min="30" max="32" width="8.88671875" style="3"/>
    <col min="33" max="33" width="3.33203125" style="3" customWidth="1"/>
    <col min="34" max="16384" width="8.88671875" style="3"/>
  </cols>
  <sheetData>
    <row r="1" spans="1:33" ht="18">
      <c r="A1" s="112" t="s">
        <v>142</v>
      </c>
      <c r="B1" s="46"/>
      <c r="C1" s="47">
        <f>+DADES_ACTUAL!C1</f>
        <v>0</v>
      </c>
      <c r="D1" s="6"/>
      <c r="E1" s="6"/>
      <c r="F1" s="46"/>
      <c r="G1" s="46"/>
      <c r="H1" s="46"/>
      <c r="I1" s="97" t="s">
        <v>143</v>
      </c>
      <c r="J1" s="48">
        <f>+DADES_ACTUAL!J1</f>
        <v>0</v>
      </c>
      <c r="L1" s="112"/>
      <c r="M1" s="46"/>
      <c r="N1" s="47"/>
      <c r="O1" s="6"/>
      <c r="P1" s="6"/>
      <c r="Q1" s="46"/>
      <c r="R1" s="46"/>
      <c r="S1" s="46"/>
      <c r="T1" s="97"/>
      <c r="U1" s="48"/>
      <c r="W1" s="112"/>
      <c r="X1" s="46"/>
      <c r="Y1" s="47"/>
      <c r="Z1" s="6"/>
      <c r="AA1" s="6"/>
      <c r="AB1" s="46"/>
      <c r="AC1" s="46"/>
      <c r="AD1" s="46"/>
      <c r="AE1" s="97"/>
      <c r="AF1" s="48"/>
    </row>
    <row r="2" spans="1:33" ht="18">
      <c r="A2" s="198"/>
      <c r="B2" s="198"/>
      <c r="C2" s="199" t="s">
        <v>400</v>
      </c>
      <c r="D2" s="198"/>
      <c r="E2" s="198"/>
      <c r="F2" s="198"/>
      <c r="G2" s="198"/>
      <c r="H2" s="198"/>
      <c r="I2" s="198"/>
      <c r="J2" s="198"/>
      <c r="K2" s="198"/>
      <c r="M2" s="198"/>
      <c r="N2" s="199" t="s">
        <v>411</v>
      </c>
      <c r="O2" s="198"/>
      <c r="P2" s="198"/>
      <c r="Q2" s="198"/>
      <c r="R2" s="198"/>
      <c r="S2" s="198"/>
      <c r="T2" s="198"/>
      <c r="U2" s="198"/>
      <c r="V2" s="198"/>
      <c r="X2" s="198"/>
      <c r="Y2" s="199" t="s">
        <v>412</v>
      </c>
      <c r="Z2" s="198"/>
      <c r="AA2" s="198"/>
      <c r="AB2" s="198"/>
      <c r="AC2" s="198"/>
      <c r="AD2" s="198"/>
      <c r="AE2" s="198"/>
      <c r="AF2" s="198"/>
      <c r="AG2" s="198"/>
    </row>
    <row r="3" spans="1:33" ht="18">
      <c r="C3" s="227"/>
      <c r="K3" s="198"/>
      <c r="N3" s="227"/>
      <c r="V3" s="198"/>
      <c r="Y3" s="227"/>
      <c r="AG3" s="198"/>
    </row>
    <row r="4" spans="1:33">
      <c r="B4" s="1" t="s">
        <v>357</v>
      </c>
      <c r="C4" s="1"/>
      <c r="D4" s="1"/>
      <c r="E4" s="1"/>
      <c r="F4" s="1"/>
      <c r="G4" s="1"/>
      <c r="H4" s="1"/>
      <c r="I4" s="1"/>
      <c r="J4" s="1"/>
      <c r="K4" s="198"/>
      <c r="M4" s="1" t="s">
        <v>357</v>
      </c>
      <c r="N4" s="1"/>
      <c r="O4" s="1"/>
      <c r="P4" s="1"/>
      <c r="Q4" s="1"/>
      <c r="R4" s="1"/>
      <c r="S4" s="1"/>
      <c r="T4" s="1"/>
      <c r="U4" s="1"/>
      <c r="V4" s="198"/>
      <c r="X4" s="1" t="s">
        <v>357</v>
      </c>
      <c r="Y4" s="1"/>
      <c r="Z4" s="1"/>
      <c r="AA4" s="1"/>
      <c r="AB4" s="1"/>
      <c r="AC4" s="1"/>
      <c r="AD4" s="1"/>
      <c r="AE4" s="1"/>
      <c r="AF4" s="1"/>
      <c r="AG4" s="198"/>
    </row>
    <row r="5" spans="1:33">
      <c r="B5" s="61" t="s">
        <v>406</v>
      </c>
      <c r="C5" s="61"/>
      <c r="D5" s="498"/>
      <c r="E5" s="498"/>
      <c r="F5" s="3" t="s">
        <v>923</v>
      </c>
      <c r="K5" s="198"/>
      <c r="M5" s="61" t="s">
        <v>406</v>
      </c>
      <c r="N5" s="61"/>
      <c r="O5" s="498"/>
      <c r="P5" s="498"/>
      <c r="Q5" s="3" t="s">
        <v>923</v>
      </c>
      <c r="V5" s="198"/>
      <c r="X5" s="61" t="s">
        <v>406</v>
      </c>
      <c r="Y5" s="61"/>
      <c r="Z5" s="498"/>
      <c r="AA5" s="498"/>
      <c r="AB5" s="3" t="s">
        <v>923</v>
      </c>
      <c r="AG5" s="198"/>
    </row>
    <row r="6" spans="1:33" ht="14.4" customHeight="1">
      <c r="B6" s="3" t="s">
        <v>355</v>
      </c>
      <c r="D6" s="537"/>
      <c r="E6" s="537"/>
      <c r="F6" s="516" t="s">
        <v>1050</v>
      </c>
      <c r="G6" s="517"/>
      <c r="H6" s="517"/>
      <c r="I6" s="517"/>
      <c r="J6" s="518"/>
      <c r="K6" s="198"/>
      <c r="M6" s="3" t="s">
        <v>355</v>
      </c>
      <c r="O6" s="537"/>
      <c r="P6" s="537"/>
      <c r="Q6" s="516"/>
      <c r="R6" s="517"/>
      <c r="S6" s="517"/>
      <c r="T6" s="517"/>
      <c r="U6" s="518"/>
      <c r="V6" s="198"/>
      <c r="X6" s="3" t="s">
        <v>355</v>
      </c>
      <c r="Z6" s="537"/>
      <c r="AA6" s="537"/>
      <c r="AB6" s="516"/>
      <c r="AC6" s="517"/>
      <c r="AD6" s="517"/>
      <c r="AE6" s="517"/>
      <c r="AF6" s="518"/>
      <c r="AG6" s="198"/>
    </row>
    <row r="7" spans="1:33">
      <c r="B7" s="9" t="s">
        <v>352</v>
      </c>
      <c r="C7" s="49"/>
      <c r="D7" s="330"/>
      <c r="E7" s="50" t="s">
        <v>20</v>
      </c>
      <c r="F7" s="519"/>
      <c r="G7" s="520"/>
      <c r="H7" s="520"/>
      <c r="I7" s="520"/>
      <c r="J7" s="521"/>
      <c r="K7" s="198"/>
      <c r="M7" s="9" t="s">
        <v>352</v>
      </c>
      <c r="N7" s="49"/>
      <c r="O7" s="359"/>
      <c r="P7" s="50" t="s">
        <v>20</v>
      </c>
      <c r="Q7" s="519"/>
      <c r="R7" s="520"/>
      <c r="S7" s="520"/>
      <c r="T7" s="520"/>
      <c r="U7" s="521"/>
      <c r="V7" s="198"/>
      <c r="X7" s="9" t="s">
        <v>352</v>
      </c>
      <c r="Y7" s="49"/>
      <c r="Z7" s="359"/>
      <c r="AA7" s="50" t="s">
        <v>20</v>
      </c>
      <c r="AB7" s="519"/>
      <c r="AC7" s="520"/>
      <c r="AD7" s="520"/>
      <c r="AE7" s="520"/>
      <c r="AF7" s="521"/>
      <c r="AG7" s="198"/>
    </row>
    <row r="8" spans="1:33">
      <c r="B8" s="228" t="s">
        <v>343</v>
      </c>
      <c r="C8" s="9"/>
      <c r="D8" s="331"/>
      <c r="E8" s="50"/>
      <c r="F8" s="519"/>
      <c r="G8" s="520"/>
      <c r="H8" s="520"/>
      <c r="I8" s="520"/>
      <c r="J8" s="521"/>
      <c r="K8" s="198"/>
      <c r="M8" s="328" t="s">
        <v>343</v>
      </c>
      <c r="N8" s="9"/>
      <c r="O8" s="331"/>
      <c r="P8" s="50"/>
      <c r="Q8" s="519"/>
      <c r="R8" s="520"/>
      <c r="S8" s="520"/>
      <c r="T8" s="520"/>
      <c r="U8" s="521"/>
      <c r="V8" s="198"/>
      <c r="X8" s="328" t="s">
        <v>343</v>
      </c>
      <c r="Y8" s="9"/>
      <c r="Z8" s="331"/>
      <c r="AA8" s="50"/>
      <c r="AB8" s="519"/>
      <c r="AC8" s="520"/>
      <c r="AD8" s="520"/>
      <c r="AE8" s="520"/>
      <c r="AF8" s="521"/>
      <c r="AG8" s="198"/>
    </row>
    <row r="9" spans="1:33">
      <c r="B9" s="9" t="s">
        <v>353</v>
      </c>
      <c r="C9" s="9"/>
      <c r="D9" s="332"/>
      <c r="E9" s="9" t="s">
        <v>20</v>
      </c>
      <c r="F9" s="519"/>
      <c r="G9" s="520"/>
      <c r="H9" s="520"/>
      <c r="I9" s="520"/>
      <c r="J9" s="521"/>
      <c r="K9" s="198"/>
      <c r="M9" s="9" t="s">
        <v>353</v>
      </c>
      <c r="N9" s="9"/>
      <c r="O9" s="332"/>
      <c r="P9" s="9" t="s">
        <v>20</v>
      </c>
      <c r="Q9" s="519"/>
      <c r="R9" s="520"/>
      <c r="S9" s="520"/>
      <c r="T9" s="520"/>
      <c r="U9" s="521"/>
      <c r="V9" s="198"/>
      <c r="X9" s="9" t="s">
        <v>353</v>
      </c>
      <c r="Y9" s="9"/>
      <c r="Z9" s="332"/>
      <c r="AA9" s="9" t="s">
        <v>20</v>
      </c>
      <c r="AB9" s="519"/>
      <c r="AC9" s="520"/>
      <c r="AD9" s="520"/>
      <c r="AE9" s="520"/>
      <c r="AF9" s="521"/>
      <c r="AG9" s="198"/>
    </row>
    <row r="10" spans="1:33">
      <c r="B10" s="9" t="s">
        <v>97</v>
      </c>
      <c r="C10" s="9"/>
      <c r="D10" s="538"/>
      <c r="E10" s="538"/>
      <c r="F10" s="519"/>
      <c r="G10" s="520"/>
      <c r="H10" s="520"/>
      <c r="I10" s="520"/>
      <c r="J10" s="521"/>
      <c r="K10" s="198"/>
      <c r="M10" s="9" t="s">
        <v>97</v>
      </c>
      <c r="N10" s="9"/>
      <c r="O10" s="538"/>
      <c r="P10" s="538"/>
      <c r="Q10" s="519"/>
      <c r="R10" s="520"/>
      <c r="S10" s="520"/>
      <c r="T10" s="520"/>
      <c r="U10" s="521"/>
      <c r="V10" s="198"/>
      <c r="X10" s="9" t="s">
        <v>97</v>
      </c>
      <c r="Y10" s="9"/>
      <c r="Z10" s="538"/>
      <c r="AA10" s="538"/>
      <c r="AB10" s="519"/>
      <c r="AC10" s="520"/>
      <c r="AD10" s="520"/>
      <c r="AE10" s="520"/>
      <c r="AF10" s="521"/>
      <c r="AG10" s="198"/>
    </row>
    <row r="11" spans="1:33">
      <c r="B11" s="9" t="s">
        <v>3</v>
      </c>
      <c r="C11" s="49"/>
      <c r="D11" s="333"/>
      <c r="E11" s="50" t="s">
        <v>4</v>
      </c>
      <c r="F11" s="522"/>
      <c r="G11" s="523"/>
      <c r="H11" s="523"/>
      <c r="I11" s="523"/>
      <c r="J11" s="524"/>
      <c r="K11" s="198"/>
      <c r="M11" s="9" t="s">
        <v>3</v>
      </c>
      <c r="N11" s="49"/>
      <c r="O11" s="333"/>
      <c r="P11" s="50" t="s">
        <v>4</v>
      </c>
      <c r="Q11" s="522"/>
      <c r="R11" s="523"/>
      <c r="S11" s="523"/>
      <c r="T11" s="523"/>
      <c r="U11" s="524"/>
      <c r="V11" s="198"/>
      <c r="X11" s="9" t="s">
        <v>3</v>
      </c>
      <c r="Y11" s="49"/>
      <c r="Z11" s="333"/>
      <c r="AA11" s="50" t="s">
        <v>4</v>
      </c>
      <c r="AB11" s="522"/>
      <c r="AC11" s="523"/>
      <c r="AD11" s="523"/>
      <c r="AE11" s="523"/>
      <c r="AF11" s="524"/>
      <c r="AG11" s="198"/>
    </row>
    <row r="12" spans="1:33">
      <c r="C12" s="365"/>
      <c r="D12" s="366"/>
      <c r="E12" s="4"/>
      <c r="F12" s="367"/>
      <c r="G12" s="367"/>
      <c r="H12" s="367"/>
      <c r="I12" s="367"/>
      <c r="J12" s="367"/>
      <c r="K12" s="198"/>
      <c r="N12" s="365"/>
      <c r="O12" s="366"/>
      <c r="P12" s="4"/>
      <c r="Q12" s="367"/>
      <c r="R12" s="367"/>
      <c r="S12" s="367"/>
      <c r="T12" s="367"/>
      <c r="U12" s="367"/>
      <c r="V12" s="198"/>
      <c r="Y12" s="365"/>
      <c r="Z12" s="366"/>
      <c r="AA12" s="4"/>
      <c r="AB12" s="367"/>
      <c r="AC12" s="367"/>
      <c r="AD12" s="367"/>
      <c r="AE12" s="367"/>
      <c r="AF12" s="367"/>
      <c r="AG12" s="198"/>
    </row>
    <row r="13" spans="1:33">
      <c r="B13" s="1" t="s">
        <v>331</v>
      </c>
      <c r="C13" s="1"/>
      <c r="D13" s="1"/>
      <c r="E13" s="1"/>
      <c r="F13" s="1"/>
      <c r="G13" s="1"/>
      <c r="H13" s="1"/>
      <c r="I13" s="1"/>
      <c r="J13" s="1"/>
      <c r="K13" s="198"/>
      <c r="M13" s="1" t="s">
        <v>331</v>
      </c>
      <c r="N13" s="1"/>
      <c r="O13" s="1"/>
      <c r="P13" s="1"/>
      <c r="Q13" s="1"/>
      <c r="R13" s="1"/>
      <c r="S13" s="1"/>
      <c r="T13" s="1"/>
      <c r="U13" s="1"/>
      <c r="V13" s="198"/>
      <c r="X13" s="1" t="s">
        <v>331</v>
      </c>
      <c r="Y13" s="1"/>
      <c r="Z13" s="1"/>
      <c r="AA13" s="1"/>
      <c r="AB13" s="1"/>
      <c r="AC13" s="1"/>
      <c r="AD13" s="1"/>
      <c r="AE13" s="1"/>
      <c r="AF13" s="1"/>
      <c r="AG13" s="198"/>
    </row>
    <row r="14" spans="1:33" ht="49.8" customHeight="1">
      <c r="B14" s="515" t="s">
        <v>1053</v>
      </c>
      <c r="C14" s="515"/>
      <c r="D14" s="515"/>
      <c r="E14" s="515"/>
      <c r="F14" s="515"/>
      <c r="G14" s="515"/>
      <c r="H14" s="515"/>
      <c r="I14" s="515"/>
      <c r="K14" s="198"/>
      <c r="M14" s="515" t="str">
        <f>+B14</f>
        <v>Es poden aplicar canvis a la demanda de litres de consum amb el factor d'ús o canviant la quantitat de dies que es fa servir el servei d'ACS. Si no es vol canviar indicar els mateixos que a 
DADES_ACTUAL:</v>
      </c>
      <c r="N14" s="515"/>
      <c r="O14" s="515"/>
      <c r="P14" s="515"/>
      <c r="Q14" s="515"/>
      <c r="R14" s="515"/>
      <c r="S14" s="515"/>
      <c r="T14" s="515"/>
      <c r="V14" s="198"/>
      <c r="X14" s="515" t="str">
        <f>+B14</f>
        <v>Es poden aplicar canvis a la demanda de litres de consum amb el factor d'ús o canviant la quantitat de dies que es fa servir el servei d'ACS. Si no es vol canviar indicar els mateixos que a 
DADES_ACTUAL:</v>
      </c>
      <c r="Y14" s="515"/>
      <c r="Z14" s="515"/>
      <c r="AA14" s="515"/>
      <c r="AB14" s="515"/>
      <c r="AC14" s="515"/>
      <c r="AD14" s="515"/>
      <c r="AE14" s="515"/>
      <c r="AG14" s="198"/>
    </row>
    <row r="15" spans="1:33" ht="14.4" customHeight="1">
      <c r="B15" s="3" t="s">
        <v>81</v>
      </c>
      <c r="D15" s="334">
        <f>+DADES_ACTUAL!C19</f>
        <v>0</v>
      </c>
      <c r="F15" s="520" t="s">
        <v>1055</v>
      </c>
      <c r="G15" s="520"/>
      <c r="H15" s="520"/>
      <c r="I15" s="520"/>
      <c r="J15" s="520"/>
      <c r="K15" s="198"/>
      <c r="M15" s="3" t="s">
        <v>81</v>
      </c>
      <c r="O15" s="334">
        <f>+DADES_ACTUAL!C19</f>
        <v>0</v>
      </c>
      <c r="Q15" s="520"/>
      <c r="R15" s="520"/>
      <c r="S15" s="520"/>
      <c r="T15" s="520"/>
      <c r="U15" s="520"/>
      <c r="V15" s="198"/>
      <c r="X15" s="3" t="s">
        <v>81</v>
      </c>
      <c r="Z15" s="334">
        <f>+DADES_ACTUAL!C19</f>
        <v>0</v>
      </c>
      <c r="AB15" s="520"/>
      <c r="AC15" s="520"/>
      <c r="AD15" s="520"/>
      <c r="AE15" s="520"/>
      <c r="AF15" s="520"/>
      <c r="AG15" s="198"/>
    </row>
    <row r="16" spans="1:33">
      <c r="B16" s="3" t="s">
        <v>1051</v>
      </c>
      <c r="D16" s="335">
        <f>+DADES_ACTUAL!C23</f>
        <v>0</v>
      </c>
      <c r="E16" s="3" t="s">
        <v>88</v>
      </c>
      <c r="F16" s="520"/>
      <c r="G16" s="520"/>
      <c r="H16" s="520"/>
      <c r="I16" s="520"/>
      <c r="J16" s="520"/>
      <c r="K16" s="198"/>
      <c r="M16" s="3" t="s">
        <v>1051</v>
      </c>
      <c r="O16" s="335">
        <f>+DADES_ACTUAL!C23</f>
        <v>0</v>
      </c>
      <c r="P16" s="3" t="s">
        <v>88</v>
      </c>
      <c r="Q16" s="520"/>
      <c r="R16" s="520"/>
      <c r="S16" s="520"/>
      <c r="T16" s="520"/>
      <c r="U16" s="520"/>
      <c r="V16" s="198"/>
      <c r="X16" s="3" t="s">
        <v>1051</v>
      </c>
      <c r="Z16" s="335">
        <f>+DADES_ACTUAL!C23</f>
        <v>0</v>
      </c>
      <c r="AA16" s="3" t="s">
        <v>88</v>
      </c>
      <c r="AB16" s="520"/>
      <c r="AC16" s="520"/>
      <c r="AD16" s="520"/>
      <c r="AE16" s="520"/>
      <c r="AF16" s="520"/>
      <c r="AG16" s="198"/>
    </row>
    <row r="17" spans="1:33">
      <c r="F17" s="520"/>
      <c r="G17" s="520"/>
      <c r="H17" s="520"/>
      <c r="I17" s="520"/>
      <c r="J17" s="520"/>
      <c r="K17" s="198"/>
      <c r="Q17" s="520"/>
      <c r="R17" s="520"/>
      <c r="S17" s="520"/>
      <c r="T17" s="520"/>
      <c r="U17" s="520"/>
      <c r="V17" s="198"/>
      <c r="AB17" s="520"/>
      <c r="AC17" s="520"/>
      <c r="AD17" s="520"/>
      <c r="AE17" s="520"/>
      <c r="AF17" s="520"/>
      <c r="AG17" s="198"/>
    </row>
    <row r="18" spans="1:33">
      <c r="B18" s="1" t="s">
        <v>332</v>
      </c>
      <c r="C18" s="1"/>
      <c r="D18" s="1"/>
      <c r="E18" s="42"/>
      <c r="F18" s="42"/>
      <c r="G18" s="42"/>
      <c r="H18" s="42"/>
      <c r="I18" s="42"/>
      <c r="J18" s="42"/>
      <c r="K18" s="198"/>
      <c r="M18" s="1" t="s">
        <v>332</v>
      </c>
      <c r="N18" s="1"/>
      <c r="O18" s="1"/>
      <c r="P18" s="42"/>
      <c r="Q18" s="42"/>
      <c r="R18" s="42"/>
      <c r="S18" s="42"/>
      <c r="T18" s="42"/>
      <c r="U18" s="42"/>
      <c r="V18" s="198"/>
      <c r="X18" s="1" t="s">
        <v>332</v>
      </c>
      <c r="Y18" s="1"/>
      <c r="Z18" s="1"/>
      <c r="AA18" s="42"/>
      <c r="AB18" s="42"/>
      <c r="AC18" s="42"/>
      <c r="AD18" s="42"/>
      <c r="AE18" s="42"/>
      <c r="AF18" s="42"/>
      <c r="AG18" s="198"/>
    </row>
    <row r="19" spans="1:33" ht="29.4" customHeight="1">
      <c r="B19" s="515" t="s">
        <v>444</v>
      </c>
      <c r="C19" s="515"/>
      <c r="D19" s="515"/>
      <c r="E19" s="515"/>
      <c r="F19" s="515"/>
      <c r="G19" s="515"/>
      <c r="H19" s="515"/>
      <c r="I19" s="515"/>
      <c r="K19" s="198"/>
      <c r="M19" s="515" t="str">
        <f>+B19</f>
        <v>Si no hi ha acumuladors d'ACS deixar en blanc el quadre. En el cas de bomba de calor o biomassa afegir dipòsits d'inèrcia.</v>
      </c>
      <c r="N19" s="515"/>
      <c r="O19" s="515"/>
      <c r="P19" s="515"/>
      <c r="Q19" s="515"/>
      <c r="R19" s="515"/>
      <c r="S19" s="515"/>
      <c r="T19" s="515"/>
      <c r="V19" s="198"/>
      <c r="X19" s="515" t="str">
        <f>+B19</f>
        <v>Si no hi ha acumuladors d'ACS deixar en blanc el quadre. En el cas de bomba de calor o biomassa afegir dipòsits d'inèrcia.</v>
      </c>
      <c r="Y19" s="515"/>
      <c r="Z19" s="515"/>
      <c r="AA19" s="515"/>
      <c r="AB19" s="515"/>
      <c r="AC19" s="515"/>
      <c r="AD19" s="515"/>
      <c r="AE19" s="515"/>
      <c r="AG19" s="198"/>
    </row>
    <row r="20" spans="1:33">
      <c r="C20" s="142" t="s">
        <v>302</v>
      </c>
      <c r="D20" s="142" t="s">
        <v>304</v>
      </c>
      <c r="E20" s="143" t="s">
        <v>303</v>
      </c>
      <c r="K20" s="198"/>
      <c r="N20" s="142" t="s">
        <v>302</v>
      </c>
      <c r="O20" s="142" t="s">
        <v>304</v>
      </c>
      <c r="P20" s="143" t="s">
        <v>303</v>
      </c>
      <c r="V20" s="198"/>
      <c r="Y20" s="142" t="s">
        <v>302</v>
      </c>
      <c r="Z20" s="142" t="s">
        <v>304</v>
      </c>
      <c r="AA20" s="143" t="s">
        <v>303</v>
      </c>
      <c r="AG20" s="198"/>
    </row>
    <row r="21" spans="1:33">
      <c r="C21" s="33" t="s">
        <v>300</v>
      </c>
      <c r="D21" s="33" t="s">
        <v>305</v>
      </c>
      <c r="E21" s="144" t="s">
        <v>138</v>
      </c>
      <c r="K21" s="198"/>
      <c r="N21" s="33" t="s">
        <v>300</v>
      </c>
      <c r="O21" s="33" t="s">
        <v>305</v>
      </c>
      <c r="P21" s="144" t="s">
        <v>138</v>
      </c>
      <c r="V21" s="198"/>
      <c r="Y21" s="33" t="s">
        <v>300</v>
      </c>
      <c r="Z21" s="33" t="s">
        <v>305</v>
      </c>
      <c r="AA21" s="144" t="s">
        <v>138</v>
      </c>
      <c r="AG21" s="198"/>
    </row>
    <row r="22" spans="1:33">
      <c r="B22" s="11" t="s">
        <v>306</v>
      </c>
      <c r="C22" s="336"/>
      <c r="D22" s="337"/>
      <c r="E22" s="337"/>
      <c r="K22" s="198"/>
      <c r="M22" s="11" t="s">
        <v>306</v>
      </c>
      <c r="N22" s="336"/>
      <c r="O22" s="337"/>
      <c r="P22" s="337"/>
      <c r="V22" s="198"/>
      <c r="X22" s="11" t="s">
        <v>306</v>
      </c>
      <c r="Y22" s="336"/>
      <c r="Z22" s="337"/>
      <c r="AA22" s="337"/>
      <c r="AG22" s="198"/>
    </row>
    <row r="23" spans="1:33">
      <c r="B23" s="11" t="s">
        <v>307</v>
      </c>
      <c r="C23" s="336"/>
      <c r="D23" s="337"/>
      <c r="E23" s="337"/>
      <c r="K23" s="198"/>
      <c r="M23" s="11" t="s">
        <v>307</v>
      </c>
      <c r="N23" s="336"/>
      <c r="O23" s="337"/>
      <c r="P23" s="337"/>
      <c r="V23" s="198"/>
      <c r="X23" s="11" t="s">
        <v>307</v>
      </c>
      <c r="Y23" s="336"/>
      <c r="Z23" s="337"/>
      <c r="AA23" s="337"/>
      <c r="AG23" s="198"/>
    </row>
    <row r="24" spans="1:33">
      <c r="B24" s="11" t="s">
        <v>329</v>
      </c>
      <c r="C24" s="336"/>
      <c r="D24" s="337"/>
      <c r="E24" s="337"/>
      <c r="K24" s="198"/>
      <c r="M24" s="11" t="s">
        <v>329</v>
      </c>
      <c r="N24" s="336"/>
      <c r="O24" s="337"/>
      <c r="P24" s="337"/>
      <c r="V24" s="198"/>
      <c r="X24" s="11" t="s">
        <v>329</v>
      </c>
      <c r="Y24" s="336"/>
      <c r="Z24" s="337"/>
      <c r="AA24" s="337"/>
      <c r="AG24" s="198"/>
    </row>
    <row r="25" spans="1:33">
      <c r="B25" s="11" t="s">
        <v>94</v>
      </c>
      <c r="C25" s="37">
        <f>+CALCUL_ALTER!D37</f>
        <v>0</v>
      </c>
      <c r="D25" s="30"/>
      <c r="E25" s="20">
        <f>SUM(E22:E24)</f>
        <v>0</v>
      </c>
      <c r="F25" s="151"/>
      <c r="K25" s="198"/>
      <c r="M25" s="11" t="s">
        <v>94</v>
      </c>
      <c r="N25" s="37">
        <f>+CALCUL_ALTER!W37</f>
        <v>0</v>
      </c>
      <c r="O25" s="30"/>
      <c r="P25" s="20">
        <f>SUM(P22:P24)</f>
        <v>0</v>
      </c>
      <c r="Q25" s="151"/>
      <c r="V25" s="198"/>
      <c r="X25" s="11" t="s">
        <v>94</v>
      </c>
      <c r="Y25" s="37">
        <f>+CALCUL_ALTER!AP37</f>
        <v>0</v>
      </c>
      <c r="Z25" s="30"/>
      <c r="AA25" s="20">
        <f>SUM(AA22:AA24)</f>
        <v>0</v>
      </c>
      <c r="AB25" s="151"/>
      <c r="AG25" s="198"/>
    </row>
    <row r="26" spans="1:33">
      <c r="B26" s="3" t="s">
        <v>127</v>
      </c>
      <c r="D26" s="338"/>
      <c r="E26" s="3" t="s">
        <v>1</v>
      </c>
      <c r="F26" s="520" t="s">
        <v>1054</v>
      </c>
      <c r="G26" s="520"/>
      <c r="H26" s="520"/>
      <c r="I26" s="520"/>
      <c r="J26" s="520"/>
      <c r="K26" s="198"/>
      <c r="M26" s="3" t="s">
        <v>127</v>
      </c>
      <c r="O26" s="338"/>
      <c r="P26" s="3" t="s">
        <v>1</v>
      </c>
      <c r="Q26" s="520"/>
      <c r="R26" s="520"/>
      <c r="S26" s="520"/>
      <c r="T26" s="520"/>
      <c r="U26" s="520"/>
      <c r="V26" s="198"/>
      <c r="X26" s="3" t="s">
        <v>127</v>
      </c>
      <c r="Z26" s="338"/>
      <c r="AA26" s="3" t="s">
        <v>1</v>
      </c>
      <c r="AB26" s="520" t="s">
        <v>1060</v>
      </c>
      <c r="AC26" s="520"/>
      <c r="AD26" s="520"/>
      <c r="AE26" s="520"/>
      <c r="AF26" s="520"/>
      <c r="AG26" s="198"/>
    </row>
    <row r="27" spans="1:33">
      <c r="B27" s="3" t="s">
        <v>128</v>
      </c>
      <c r="D27" s="338"/>
      <c r="E27" s="3" t="s">
        <v>1</v>
      </c>
      <c r="F27" s="520"/>
      <c r="G27" s="520"/>
      <c r="H27" s="520"/>
      <c r="I27" s="520"/>
      <c r="J27" s="520"/>
      <c r="K27" s="198"/>
      <c r="M27" s="3" t="s">
        <v>128</v>
      </c>
      <c r="O27" s="338"/>
      <c r="P27" s="3" t="s">
        <v>1</v>
      </c>
      <c r="Q27" s="520"/>
      <c r="R27" s="520"/>
      <c r="S27" s="520"/>
      <c r="T27" s="520"/>
      <c r="U27" s="520"/>
      <c r="V27" s="198"/>
      <c r="X27" s="3" t="s">
        <v>128</v>
      </c>
      <c r="Z27" s="338"/>
      <c r="AA27" s="3" t="s">
        <v>1</v>
      </c>
      <c r="AB27" s="520"/>
      <c r="AC27" s="520"/>
      <c r="AD27" s="520"/>
      <c r="AE27" s="520"/>
      <c r="AF27" s="520"/>
      <c r="AG27" s="198"/>
    </row>
    <row r="28" spans="1:33">
      <c r="B28" s="3" t="s">
        <v>87</v>
      </c>
      <c r="D28" s="335"/>
      <c r="E28" s="3" t="s">
        <v>88</v>
      </c>
      <c r="F28" s="520"/>
      <c r="G28" s="520"/>
      <c r="H28" s="520"/>
      <c r="I28" s="520"/>
      <c r="J28" s="520"/>
      <c r="K28" s="198"/>
      <c r="M28" s="3" t="s">
        <v>87</v>
      </c>
      <c r="O28" s="335"/>
      <c r="P28" s="3" t="s">
        <v>88</v>
      </c>
      <c r="Q28" s="520"/>
      <c r="R28" s="520"/>
      <c r="S28" s="520"/>
      <c r="T28" s="520"/>
      <c r="U28" s="520"/>
      <c r="V28" s="198"/>
      <c r="X28" s="3" t="s">
        <v>87</v>
      </c>
      <c r="Z28" s="335"/>
      <c r="AA28" s="3" t="s">
        <v>88</v>
      </c>
      <c r="AB28" s="520"/>
      <c r="AC28" s="520"/>
      <c r="AD28" s="520"/>
      <c r="AE28" s="520"/>
      <c r="AF28" s="520"/>
      <c r="AG28" s="198"/>
    </row>
    <row r="29" spans="1:33">
      <c r="K29" s="198"/>
      <c r="V29" s="198"/>
      <c r="AG29" s="198"/>
    </row>
    <row r="30" spans="1:33">
      <c r="A30" s="2"/>
      <c r="B30" s="1" t="s">
        <v>333</v>
      </c>
      <c r="C30" s="1"/>
      <c r="D30" s="1"/>
      <c r="E30" s="1"/>
      <c r="F30" s="1"/>
      <c r="G30" s="1"/>
      <c r="H30" s="1"/>
      <c r="I30" s="1"/>
      <c r="J30" s="1"/>
      <c r="K30" s="198"/>
      <c r="L30" s="2"/>
      <c r="M30" s="1" t="s">
        <v>333</v>
      </c>
      <c r="N30" s="1"/>
      <c r="O30" s="1"/>
      <c r="P30" s="1"/>
      <c r="Q30" s="1"/>
      <c r="R30" s="1"/>
      <c r="S30" s="1"/>
      <c r="T30" s="1"/>
      <c r="U30" s="1"/>
      <c r="V30" s="198"/>
      <c r="W30" s="2"/>
      <c r="X30" s="1" t="s">
        <v>333</v>
      </c>
      <c r="Y30" s="1"/>
      <c r="Z30" s="1"/>
      <c r="AA30" s="1"/>
      <c r="AB30" s="1"/>
      <c r="AC30" s="1"/>
      <c r="AD30" s="1"/>
      <c r="AE30" s="1"/>
      <c r="AF30" s="1"/>
      <c r="AG30" s="198"/>
    </row>
    <row r="31" spans="1:33">
      <c r="A31" s="2"/>
      <c r="B31" s="515" t="s">
        <v>404</v>
      </c>
      <c r="C31" s="515"/>
      <c r="D31" s="515"/>
      <c r="E31" s="515"/>
      <c r="F31" s="515"/>
      <c r="G31" s="515"/>
      <c r="H31" s="515"/>
      <c r="I31" s="515"/>
      <c r="J31" s="2"/>
      <c r="K31" s="198"/>
      <c r="L31" s="2"/>
      <c r="M31" s="515" t="str">
        <f>+B31</f>
        <v>Si el sistema no disposa de recirculació, posar tots els valors a 0 o suprimir el contingut.</v>
      </c>
      <c r="N31" s="515"/>
      <c r="O31" s="515"/>
      <c r="P31" s="515"/>
      <c r="Q31" s="515"/>
      <c r="R31" s="515"/>
      <c r="S31" s="515"/>
      <c r="T31" s="515"/>
      <c r="U31" s="2"/>
      <c r="V31" s="198"/>
      <c r="W31" s="2"/>
      <c r="X31" s="515" t="str">
        <f>+B31</f>
        <v>Si el sistema no disposa de recirculació, posar tots els valors a 0 o suprimir el contingut.</v>
      </c>
      <c r="Y31" s="515"/>
      <c r="Z31" s="515"/>
      <c r="AA31" s="515"/>
      <c r="AB31" s="515"/>
      <c r="AC31" s="515"/>
      <c r="AD31" s="515"/>
      <c r="AE31" s="515"/>
      <c r="AF31" s="2"/>
      <c r="AG31" s="198"/>
    </row>
    <row r="32" spans="1:33" ht="14.4" customHeight="1">
      <c r="B32" s="3" t="s">
        <v>334</v>
      </c>
      <c r="D32" s="339"/>
      <c r="E32" s="3" t="s">
        <v>1</v>
      </c>
      <c r="F32" s="520" t="s">
        <v>1052</v>
      </c>
      <c r="G32" s="520"/>
      <c r="H32" s="520"/>
      <c r="I32" s="520"/>
      <c r="J32" s="520"/>
      <c r="K32" s="198"/>
      <c r="M32" s="3" t="s">
        <v>334</v>
      </c>
      <c r="O32" s="339"/>
      <c r="P32" s="3" t="s">
        <v>1</v>
      </c>
      <c r="Q32" s="520"/>
      <c r="R32" s="520"/>
      <c r="S32" s="520"/>
      <c r="T32" s="520"/>
      <c r="U32" s="520"/>
      <c r="V32" s="198"/>
      <c r="X32" s="3" t="s">
        <v>334</v>
      </c>
      <c r="Z32" s="339"/>
      <c r="AA32" s="3" t="s">
        <v>1</v>
      </c>
      <c r="AB32" s="520" t="s">
        <v>1061</v>
      </c>
      <c r="AC32" s="520"/>
      <c r="AD32" s="520"/>
      <c r="AE32" s="520"/>
      <c r="AF32" s="520"/>
      <c r="AG32" s="198"/>
    </row>
    <row r="33" spans="2:33">
      <c r="B33" s="3" t="s">
        <v>335</v>
      </c>
      <c r="D33" s="339"/>
      <c r="E33" s="3" t="s">
        <v>1</v>
      </c>
      <c r="F33" s="520"/>
      <c r="G33" s="520"/>
      <c r="H33" s="520"/>
      <c r="I33" s="520"/>
      <c r="J33" s="520"/>
      <c r="K33" s="198"/>
      <c r="M33" s="3" t="s">
        <v>335</v>
      </c>
      <c r="O33" s="339"/>
      <c r="P33" s="3" t="s">
        <v>1</v>
      </c>
      <c r="Q33" s="520"/>
      <c r="R33" s="520"/>
      <c r="S33" s="520"/>
      <c r="T33" s="520"/>
      <c r="U33" s="520"/>
      <c r="V33" s="198"/>
      <c r="X33" s="3" t="s">
        <v>335</v>
      </c>
      <c r="Z33" s="339"/>
      <c r="AA33" s="3" t="s">
        <v>1</v>
      </c>
      <c r="AB33" s="520"/>
      <c r="AC33" s="520"/>
      <c r="AD33" s="520"/>
      <c r="AE33" s="520"/>
      <c r="AF33" s="520"/>
      <c r="AG33" s="198"/>
    </row>
    <row r="34" spans="2:33">
      <c r="B34" s="3" t="s">
        <v>336</v>
      </c>
      <c r="D34" s="339"/>
      <c r="E34" s="3" t="s">
        <v>1</v>
      </c>
      <c r="F34" s="520"/>
      <c r="G34" s="520"/>
      <c r="H34" s="520"/>
      <c r="I34" s="520"/>
      <c r="J34" s="520"/>
      <c r="K34" s="198"/>
      <c r="M34" s="3" t="s">
        <v>336</v>
      </c>
      <c r="O34" s="339"/>
      <c r="P34" s="3" t="s">
        <v>1</v>
      </c>
      <c r="Q34" s="520"/>
      <c r="R34" s="520"/>
      <c r="S34" s="520"/>
      <c r="T34" s="520"/>
      <c r="U34" s="520"/>
      <c r="V34" s="198"/>
      <c r="X34" s="3" t="s">
        <v>336</v>
      </c>
      <c r="Z34" s="339"/>
      <c r="AA34" s="3" t="s">
        <v>1</v>
      </c>
      <c r="AB34" s="520"/>
      <c r="AC34" s="520"/>
      <c r="AD34" s="520"/>
      <c r="AE34" s="520"/>
      <c r="AF34" s="520"/>
      <c r="AG34" s="198"/>
    </row>
    <row r="35" spans="2:33">
      <c r="B35" s="3" t="s">
        <v>106</v>
      </c>
      <c r="D35" s="335"/>
      <c r="E35" s="3" t="s">
        <v>961</v>
      </c>
      <c r="K35" s="198"/>
      <c r="M35" s="3" t="s">
        <v>106</v>
      </c>
      <c r="O35" s="335"/>
      <c r="P35" s="3" t="s">
        <v>961</v>
      </c>
      <c r="V35" s="198"/>
      <c r="X35" s="3" t="s">
        <v>106</v>
      </c>
      <c r="Z35" s="335"/>
      <c r="AA35" s="3" t="s">
        <v>961</v>
      </c>
      <c r="AG35" s="198"/>
    </row>
    <row r="36" spans="2:33">
      <c r="B36" s="3" t="s">
        <v>366</v>
      </c>
      <c r="D36" s="340"/>
      <c r="E36" s="3" t="s">
        <v>960</v>
      </c>
      <c r="K36" s="198"/>
      <c r="M36" s="3" t="s">
        <v>366</v>
      </c>
      <c r="O36" s="340"/>
      <c r="P36" s="3" t="s">
        <v>960</v>
      </c>
      <c r="V36" s="198"/>
      <c r="X36" s="3" t="s">
        <v>366</v>
      </c>
      <c r="Z36" s="340"/>
      <c r="AA36" s="3" t="s">
        <v>960</v>
      </c>
      <c r="AG36" s="198"/>
    </row>
    <row r="37" spans="2:33">
      <c r="K37" s="198"/>
      <c r="V37" s="198"/>
      <c r="AG37" s="198"/>
    </row>
    <row r="38" spans="2:33" ht="15" thickBot="1">
      <c r="B38" s="2" t="s">
        <v>327</v>
      </c>
      <c r="K38" s="198"/>
      <c r="M38" s="2" t="s">
        <v>327</v>
      </c>
      <c r="V38" s="198"/>
      <c r="X38" s="2" t="s">
        <v>327</v>
      </c>
      <c r="AG38" s="198"/>
    </row>
    <row r="39" spans="2:33" ht="22.8" customHeight="1" thickBot="1">
      <c r="B39" s="2"/>
      <c r="D39" s="532" t="s">
        <v>322</v>
      </c>
      <c r="E39" s="533"/>
      <c r="F39" s="528" t="s">
        <v>319</v>
      </c>
      <c r="G39" s="529"/>
      <c r="H39" s="529"/>
      <c r="I39" s="530"/>
      <c r="K39" s="198"/>
      <c r="M39" s="2"/>
      <c r="O39" s="532" t="s">
        <v>322</v>
      </c>
      <c r="P39" s="533"/>
      <c r="Q39" s="528" t="s">
        <v>319</v>
      </c>
      <c r="R39" s="529"/>
      <c r="S39" s="529"/>
      <c r="T39" s="530"/>
      <c r="V39" s="198"/>
      <c r="X39" s="2"/>
      <c r="Z39" s="532" t="s">
        <v>322</v>
      </c>
      <c r="AA39" s="533"/>
      <c r="AB39" s="528" t="s">
        <v>319</v>
      </c>
      <c r="AC39" s="529"/>
      <c r="AD39" s="529"/>
      <c r="AE39" s="530"/>
      <c r="AG39" s="198"/>
    </row>
    <row r="40" spans="2:33" ht="29.4" customHeight="1">
      <c r="B40" s="13"/>
      <c r="C40" s="208"/>
      <c r="D40" s="212"/>
      <c r="E40" s="212"/>
      <c r="F40" s="534"/>
      <c r="G40" s="535"/>
      <c r="H40" s="526"/>
      <c r="I40" s="527"/>
      <c r="K40" s="198"/>
      <c r="M40" s="13"/>
      <c r="N40" s="208"/>
      <c r="O40" s="212"/>
      <c r="P40" s="212"/>
      <c r="Q40" s="534"/>
      <c r="R40" s="535"/>
      <c r="S40" s="526"/>
      <c r="T40" s="527"/>
      <c r="V40" s="198"/>
      <c r="X40" s="13"/>
      <c r="Y40" s="208"/>
      <c r="Z40" s="212"/>
      <c r="AA40" s="212"/>
      <c r="AB40" s="534"/>
      <c r="AC40" s="535"/>
      <c r="AD40" s="526"/>
      <c r="AE40" s="527"/>
      <c r="AG40" s="198"/>
    </row>
    <row r="41" spans="2:33" ht="47.4" customHeight="1">
      <c r="B41" s="13" t="s">
        <v>328</v>
      </c>
      <c r="C41" s="208"/>
      <c r="D41" s="213" t="s">
        <v>323</v>
      </c>
      <c r="E41" s="213" t="s">
        <v>324</v>
      </c>
      <c r="F41" s="206" t="s">
        <v>323</v>
      </c>
      <c r="G41" s="207" t="s">
        <v>325</v>
      </c>
      <c r="H41" s="206" t="s">
        <v>324</v>
      </c>
      <c r="I41" s="207" t="s">
        <v>326</v>
      </c>
      <c r="J41" s="14" t="s">
        <v>34</v>
      </c>
      <c r="K41" s="198"/>
      <c r="M41" s="13" t="s">
        <v>328</v>
      </c>
      <c r="N41" s="208"/>
      <c r="O41" s="213" t="s">
        <v>323</v>
      </c>
      <c r="P41" s="213" t="s">
        <v>324</v>
      </c>
      <c r="Q41" s="206" t="s">
        <v>323</v>
      </c>
      <c r="R41" s="207" t="s">
        <v>325</v>
      </c>
      <c r="S41" s="206" t="s">
        <v>324</v>
      </c>
      <c r="T41" s="207" t="s">
        <v>326</v>
      </c>
      <c r="U41" s="14" t="s">
        <v>34</v>
      </c>
      <c r="V41" s="198"/>
      <c r="X41" s="13" t="s">
        <v>328</v>
      </c>
      <c r="Y41" s="208"/>
      <c r="Z41" s="213" t="s">
        <v>323</v>
      </c>
      <c r="AA41" s="213" t="s">
        <v>324</v>
      </c>
      <c r="AB41" s="206" t="s">
        <v>323</v>
      </c>
      <c r="AC41" s="207" t="s">
        <v>325</v>
      </c>
      <c r="AD41" s="206" t="s">
        <v>324</v>
      </c>
      <c r="AE41" s="207" t="s">
        <v>326</v>
      </c>
      <c r="AF41" s="14" t="s">
        <v>34</v>
      </c>
      <c r="AG41" s="198"/>
    </row>
    <row r="42" spans="2:33">
      <c r="B42" s="17" t="s">
        <v>16</v>
      </c>
      <c r="C42" s="29" t="s">
        <v>17</v>
      </c>
      <c r="D42" s="214" t="s">
        <v>18</v>
      </c>
      <c r="E42" s="214" t="s">
        <v>18</v>
      </c>
      <c r="F42" s="202" t="s">
        <v>18</v>
      </c>
      <c r="G42" s="203" t="s">
        <v>16</v>
      </c>
      <c r="H42" s="202" t="s">
        <v>18</v>
      </c>
      <c r="I42" s="203" t="s">
        <v>16</v>
      </c>
      <c r="J42" s="447" t="s">
        <v>18</v>
      </c>
      <c r="K42" s="198"/>
      <c r="M42" s="17" t="s">
        <v>16</v>
      </c>
      <c r="N42" s="29" t="s">
        <v>17</v>
      </c>
      <c r="O42" s="214" t="s">
        <v>18</v>
      </c>
      <c r="P42" s="214" t="s">
        <v>18</v>
      </c>
      <c r="Q42" s="202" t="s">
        <v>18</v>
      </c>
      <c r="R42" s="203" t="s">
        <v>16</v>
      </c>
      <c r="S42" s="202" t="s">
        <v>18</v>
      </c>
      <c r="T42" s="203" t="s">
        <v>16</v>
      </c>
      <c r="U42" s="447" t="s">
        <v>18</v>
      </c>
      <c r="V42" s="198"/>
      <c r="X42" s="17" t="s">
        <v>16</v>
      </c>
      <c r="Y42" s="29" t="s">
        <v>17</v>
      </c>
      <c r="Z42" s="214" t="s">
        <v>18</v>
      </c>
      <c r="AA42" s="214" t="s">
        <v>18</v>
      </c>
      <c r="AB42" s="202" t="s">
        <v>18</v>
      </c>
      <c r="AC42" s="203" t="s">
        <v>16</v>
      </c>
      <c r="AD42" s="202" t="s">
        <v>18</v>
      </c>
      <c r="AE42" s="203" t="s">
        <v>16</v>
      </c>
      <c r="AF42" s="447" t="s">
        <v>18</v>
      </c>
      <c r="AG42" s="198"/>
    </row>
    <row r="43" spans="2:33">
      <c r="B43" s="17">
        <v>15</v>
      </c>
      <c r="C43" s="209" t="s">
        <v>22</v>
      </c>
      <c r="D43" s="342"/>
      <c r="E43" s="342"/>
      <c r="F43" s="341"/>
      <c r="G43" s="343"/>
      <c r="H43" s="341"/>
      <c r="I43" s="343"/>
      <c r="J43" s="447">
        <f>+D43+E43+F43+H43</f>
        <v>0</v>
      </c>
      <c r="K43" s="198"/>
      <c r="M43" s="17">
        <v>15</v>
      </c>
      <c r="N43" s="209" t="s">
        <v>22</v>
      </c>
      <c r="O43" s="341"/>
      <c r="P43" s="342"/>
      <c r="Q43" s="341"/>
      <c r="R43" s="343"/>
      <c r="S43" s="341"/>
      <c r="T43" s="343"/>
      <c r="U43" s="447">
        <f>+O43+P43+Q43+S43</f>
        <v>0</v>
      </c>
      <c r="V43" s="198"/>
      <c r="X43" s="17">
        <v>15</v>
      </c>
      <c r="Y43" s="209" t="s">
        <v>22</v>
      </c>
      <c r="Z43" s="341"/>
      <c r="AA43" s="342"/>
      <c r="AB43" s="341"/>
      <c r="AC43" s="343"/>
      <c r="AD43" s="341"/>
      <c r="AE43" s="343"/>
      <c r="AF43" s="447">
        <f>+Z43+AA43+AB43+AD43</f>
        <v>0</v>
      </c>
      <c r="AG43" s="198"/>
    </row>
    <row r="44" spans="2:33">
      <c r="B44" s="17">
        <v>22</v>
      </c>
      <c r="C44" s="210" t="s">
        <v>23</v>
      </c>
      <c r="D44" s="342"/>
      <c r="E44" s="342"/>
      <c r="F44" s="341"/>
      <c r="G44" s="343"/>
      <c r="H44" s="341"/>
      <c r="I44" s="343"/>
      <c r="J44" s="447">
        <f t="shared" ref="J44:J53" si="0">+D44+E44+F44+H44</f>
        <v>0</v>
      </c>
      <c r="K44" s="198"/>
      <c r="M44" s="17">
        <v>22</v>
      </c>
      <c r="N44" s="210" t="s">
        <v>23</v>
      </c>
      <c r="O44" s="341"/>
      <c r="P44" s="342"/>
      <c r="Q44" s="341"/>
      <c r="R44" s="343"/>
      <c r="S44" s="341"/>
      <c r="T44" s="343"/>
      <c r="U44" s="447">
        <f t="shared" ref="U44:U53" si="1">+O44+P44+Q44+S44</f>
        <v>0</v>
      </c>
      <c r="V44" s="198"/>
      <c r="X44" s="17">
        <v>22</v>
      </c>
      <c r="Y44" s="210" t="s">
        <v>23</v>
      </c>
      <c r="Z44" s="341"/>
      <c r="AA44" s="342"/>
      <c r="AB44" s="341"/>
      <c r="AC44" s="343"/>
      <c r="AD44" s="341"/>
      <c r="AE44" s="343"/>
      <c r="AF44" s="447">
        <f t="shared" ref="AF44:AF53" si="2">+Z44+AA44+AB44+AD44</f>
        <v>0</v>
      </c>
      <c r="AG44" s="198"/>
    </row>
    <row r="45" spans="2:33">
      <c r="B45" s="17">
        <v>28</v>
      </c>
      <c r="C45" s="13">
        <v>1</v>
      </c>
      <c r="D45" s="342"/>
      <c r="E45" s="342"/>
      <c r="F45" s="341"/>
      <c r="G45" s="343"/>
      <c r="H45" s="341"/>
      <c r="I45" s="343"/>
      <c r="J45" s="447">
        <f t="shared" si="0"/>
        <v>0</v>
      </c>
      <c r="K45" s="198"/>
      <c r="M45" s="17">
        <v>28</v>
      </c>
      <c r="N45" s="13">
        <v>1</v>
      </c>
      <c r="O45" s="341"/>
      <c r="P45" s="342"/>
      <c r="Q45" s="341"/>
      <c r="R45" s="343"/>
      <c r="S45" s="341"/>
      <c r="T45" s="343"/>
      <c r="U45" s="447">
        <f t="shared" si="1"/>
        <v>0</v>
      </c>
      <c r="V45" s="198"/>
      <c r="X45" s="17">
        <v>28</v>
      </c>
      <c r="Y45" s="13">
        <v>1</v>
      </c>
      <c r="Z45" s="341"/>
      <c r="AA45" s="342"/>
      <c r="AB45" s="341"/>
      <c r="AC45" s="343"/>
      <c r="AD45" s="341"/>
      <c r="AE45" s="343"/>
      <c r="AF45" s="447">
        <f t="shared" si="2"/>
        <v>0</v>
      </c>
      <c r="AG45" s="198"/>
    </row>
    <row r="46" spans="2:33">
      <c r="B46" s="17">
        <v>35</v>
      </c>
      <c r="C46" s="211">
        <v>1.25</v>
      </c>
      <c r="D46" s="342"/>
      <c r="E46" s="342"/>
      <c r="F46" s="341"/>
      <c r="G46" s="343"/>
      <c r="H46" s="341"/>
      <c r="I46" s="343"/>
      <c r="J46" s="447">
        <f t="shared" si="0"/>
        <v>0</v>
      </c>
      <c r="K46" s="198"/>
      <c r="M46" s="17">
        <v>35</v>
      </c>
      <c r="N46" s="211">
        <v>1.25</v>
      </c>
      <c r="O46" s="341"/>
      <c r="P46" s="342"/>
      <c r="Q46" s="341"/>
      <c r="R46" s="343"/>
      <c r="S46" s="341"/>
      <c r="T46" s="343"/>
      <c r="U46" s="447">
        <f t="shared" si="1"/>
        <v>0</v>
      </c>
      <c r="V46" s="198"/>
      <c r="X46" s="17">
        <v>35</v>
      </c>
      <c r="Y46" s="211">
        <v>1.25</v>
      </c>
      <c r="Z46" s="341"/>
      <c r="AA46" s="342"/>
      <c r="AB46" s="341"/>
      <c r="AC46" s="343"/>
      <c r="AD46" s="341"/>
      <c r="AE46" s="343"/>
      <c r="AF46" s="447">
        <f t="shared" si="2"/>
        <v>0</v>
      </c>
      <c r="AG46" s="198"/>
    </row>
    <row r="47" spans="2:33">
      <c r="B47" s="17">
        <v>42</v>
      </c>
      <c r="C47" s="211">
        <v>1.5</v>
      </c>
      <c r="D47" s="342"/>
      <c r="E47" s="342"/>
      <c r="F47" s="341"/>
      <c r="G47" s="343"/>
      <c r="H47" s="341"/>
      <c r="I47" s="343"/>
      <c r="J47" s="447">
        <f t="shared" si="0"/>
        <v>0</v>
      </c>
      <c r="K47" s="198"/>
      <c r="M47" s="17">
        <v>42</v>
      </c>
      <c r="N47" s="211">
        <v>1.5</v>
      </c>
      <c r="O47" s="341"/>
      <c r="P47" s="342"/>
      <c r="Q47" s="341"/>
      <c r="R47" s="343"/>
      <c r="S47" s="341"/>
      <c r="T47" s="343"/>
      <c r="U47" s="447">
        <f t="shared" si="1"/>
        <v>0</v>
      </c>
      <c r="V47" s="198"/>
      <c r="X47" s="17">
        <v>42</v>
      </c>
      <c r="Y47" s="211">
        <v>1.5</v>
      </c>
      <c r="Z47" s="341"/>
      <c r="AA47" s="342"/>
      <c r="AB47" s="341"/>
      <c r="AC47" s="343"/>
      <c r="AD47" s="341"/>
      <c r="AE47" s="343"/>
      <c r="AF47" s="447">
        <f t="shared" si="2"/>
        <v>0</v>
      </c>
      <c r="AG47" s="198"/>
    </row>
    <row r="48" spans="2:33">
      <c r="B48" s="17">
        <v>48</v>
      </c>
      <c r="C48" s="13">
        <v>2</v>
      </c>
      <c r="D48" s="342"/>
      <c r="E48" s="342"/>
      <c r="F48" s="341"/>
      <c r="G48" s="343"/>
      <c r="H48" s="341"/>
      <c r="I48" s="343"/>
      <c r="J48" s="447">
        <f t="shared" si="0"/>
        <v>0</v>
      </c>
      <c r="K48" s="198"/>
      <c r="M48" s="17">
        <v>48</v>
      </c>
      <c r="N48" s="13">
        <v>2</v>
      </c>
      <c r="O48" s="341"/>
      <c r="P48" s="342"/>
      <c r="Q48" s="341"/>
      <c r="R48" s="343"/>
      <c r="S48" s="341"/>
      <c r="T48" s="343"/>
      <c r="U48" s="447">
        <f t="shared" si="1"/>
        <v>0</v>
      </c>
      <c r="V48" s="198"/>
      <c r="X48" s="17">
        <v>48</v>
      </c>
      <c r="Y48" s="13">
        <v>2</v>
      </c>
      <c r="Z48" s="341"/>
      <c r="AA48" s="342"/>
      <c r="AB48" s="341"/>
      <c r="AC48" s="343"/>
      <c r="AD48" s="341"/>
      <c r="AE48" s="343"/>
      <c r="AF48" s="447">
        <f t="shared" si="2"/>
        <v>0</v>
      </c>
      <c r="AG48" s="198"/>
    </row>
    <row r="49" spans="2:33">
      <c r="B49" s="17">
        <v>54</v>
      </c>
      <c r="C49" s="13">
        <v>2</v>
      </c>
      <c r="D49" s="342"/>
      <c r="E49" s="342"/>
      <c r="F49" s="341"/>
      <c r="G49" s="343"/>
      <c r="H49" s="341"/>
      <c r="I49" s="343"/>
      <c r="J49" s="447">
        <f t="shared" si="0"/>
        <v>0</v>
      </c>
      <c r="K49" s="198"/>
      <c r="M49" s="17">
        <v>54</v>
      </c>
      <c r="N49" s="13">
        <v>2</v>
      </c>
      <c r="O49" s="341"/>
      <c r="P49" s="342"/>
      <c r="Q49" s="341"/>
      <c r="R49" s="343"/>
      <c r="S49" s="341"/>
      <c r="T49" s="343"/>
      <c r="U49" s="447">
        <f t="shared" si="1"/>
        <v>0</v>
      </c>
      <c r="V49" s="198"/>
      <c r="X49" s="17">
        <v>54</v>
      </c>
      <c r="Y49" s="13">
        <v>2</v>
      </c>
      <c r="Z49" s="341"/>
      <c r="AA49" s="342"/>
      <c r="AB49" s="341"/>
      <c r="AC49" s="343"/>
      <c r="AD49" s="341"/>
      <c r="AE49" s="343"/>
      <c r="AF49" s="447">
        <f t="shared" si="2"/>
        <v>0</v>
      </c>
      <c r="AG49" s="198"/>
    </row>
    <row r="50" spans="2:33">
      <c r="B50" s="17">
        <v>64</v>
      </c>
      <c r="C50" s="211">
        <v>2.5</v>
      </c>
      <c r="D50" s="342"/>
      <c r="E50" s="342"/>
      <c r="F50" s="341"/>
      <c r="G50" s="343"/>
      <c r="H50" s="341"/>
      <c r="I50" s="343"/>
      <c r="J50" s="447">
        <f t="shared" si="0"/>
        <v>0</v>
      </c>
      <c r="K50" s="198"/>
      <c r="M50" s="17">
        <v>64</v>
      </c>
      <c r="N50" s="211">
        <v>2.5</v>
      </c>
      <c r="O50" s="341"/>
      <c r="P50" s="342"/>
      <c r="Q50" s="341"/>
      <c r="R50" s="343"/>
      <c r="S50" s="341"/>
      <c r="T50" s="343"/>
      <c r="U50" s="447">
        <f t="shared" si="1"/>
        <v>0</v>
      </c>
      <c r="V50" s="198"/>
      <c r="X50" s="17">
        <v>64</v>
      </c>
      <c r="Y50" s="211">
        <v>2.5</v>
      </c>
      <c r="Z50" s="341"/>
      <c r="AA50" s="342"/>
      <c r="AB50" s="341"/>
      <c r="AC50" s="343"/>
      <c r="AD50" s="341"/>
      <c r="AE50" s="343"/>
      <c r="AF50" s="447">
        <f t="shared" si="2"/>
        <v>0</v>
      </c>
      <c r="AG50" s="198"/>
    </row>
    <row r="51" spans="2:33">
      <c r="B51" s="17">
        <v>80</v>
      </c>
      <c r="C51" s="13">
        <v>3</v>
      </c>
      <c r="D51" s="342"/>
      <c r="E51" s="342"/>
      <c r="F51" s="341"/>
      <c r="G51" s="343"/>
      <c r="H51" s="341"/>
      <c r="I51" s="343"/>
      <c r="J51" s="447">
        <f t="shared" si="0"/>
        <v>0</v>
      </c>
      <c r="K51" s="198"/>
      <c r="M51" s="17">
        <v>80</v>
      </c>
      <c r="N51" s="13">
        <v>3</v>
      </c>
      <c r="O51" s="341"/>
      <c r="P51" s="342"/>
      <c r="Q51" s="341"/>
      <c r="R51" s="343"/>
      <c r="S51" s="341"/>
      <c r="T51" s="343"/>
      <c r="U51" s="447">
        <f t="shared" si="1"/>
        <v>0</v>
      </c>
      <c r="V51" s="198"/>
      <c r="X51" s="17">
        <v>80</v>
      </c>
      <c r="Y51" s="13">
        <v>3</v>
      </c>
      <c r="Z51" s="341"/>
      <c r="AA51" s="342"/>
      <c r="AB51" s="341"/>
      <c r="AC51" s="343"/>
      <c r="AD51" s="341"/>
      <c r="AE51" s="343"/>
      <c r="AF51" s="447">
        <f t="shared" si="2"/>
        <v>0</v>
      </c>
      <c r="AG51" s="198"/>
    </row>
    <row r="52" spans="2:33">
      <c r="B52" s="17">
        <v>100</v>
      </c>
      <c r="C52" s="13">
        <v>4</v>
      </c>
      <c r="D52" s="342"/>
      <c r="E52" s="342"/>
      <c r="F52" s="341"/>
      <c r="G52" s="343"/>
      <c r="H52" s="341"/>
      <c r="I52" s="343"/>
      <c r="J52" s="447">
        <f t="shared" si="0"/>
        <v>0</v>
      </c>
      <c r="K52" s="198"/>
      <c r="M52" s="17">
        <v>100</v>
      </c>
      <c r="N52" s="13">
        <v>4</v>
      </c>
      <c r="O52" s="341"/>
      <c r="P52" s="342"/>
      <c r="Q52" s="341"/>
      <c r="R52" s="343"/>
      <c r="S52" s="341"/>
      <c r="T52" s="343"/>
      <c r="U52" s="447">
        <f t="shared" si="1"/>
        <v>0</v>
      </c>
      <c r="V52" s="198"/>
      <c r="X52" s="17">
        <v>100</v>
      </c>
      <c r="Y52" s="13">
        <v>4</v>
      </c>
      <c r="Z52" s="341"/>
      <c r="AA52" s="342"/>
      <c r="AB52" s="341"/>
      <c r="AC52" s="343"/>
      <c r="AD52" s="341"/>
      <c r="AE52" s="343"/>
      <c r="AF52" s="447">
        <f t="shared" si="2"/>
        <v>0</v>
      </c>
      <c r="AG52" s="198"/>
    </row>
    <row r="53" spans="2:33" ht="15" thickBot="1">
      <c r="B53" s="11" t="s">
        <v>24</v>
      </c>
      <c r="C53" s="134"/>
      <c r="D53" s="215">
        <f>SUM(D43:D52)</f>
        <v>0</v>
      </c>
      <c r="E53" s="215">
        <f>SUM(E43:E52)</f>
        <v>0</v>
      </c>
      <c r="F53" s="204">
        <f>SUM(F43:F52)</f>
        <v>0</v>
      </c>
      <c r="G53" s="205"/>
      <c r="H53" s="204">
        <f>SUM(H43:H52)</f>
        <v>0</v>
      </c>
      <c r="I53" s="205"/>
      <c r="J53" s="447">
        <f t="shared" si="0"/>
        <v>0</v>
      </c>
      <c r="K53" s="198"/>
      <c r="M53" s="11" t="s">
        <v>24</v>
      </c>
      <c r="N53" s="134"/>
      <c r="O53" s="215">
        <f>SUM(O43:O52)</f>
        <v>0</v>
      </c>
      <c r="P53" s="215">
        <f>SUM(P43:P52)</f>
        <v>0</v>
      </c>
      <c r="Q53" s="204">
        <f>SUM(Q43:Q52)</f>
        <v>0</v>
      </c>
      <c r="R53" s="205"/>
      <c r="S53" s="204">
        <f>SUM(S43:S52)</f>
        <v>0</v>
      </c>
      <c r="T53" s="205"/>
      <c r="U53" s="447">
        <f t="shared" si="1"/>
        <v>0</v>
      </c>
      <c r="V53" s="198"/>
      <c r="X53" s="11" t="s">
        <v>24</v>
      </c>
      <c r="Y53" s="134"/>
      <c r="Z53" s="215">
        <f>SUM(Z43:Z52)</f>
        <v>0</v>
      </c>
      <c r="AA53" s="215">
        <f>SUM(AA43:AA52)</f>
        <v>0</v>
      </c>
      <c r="AB53" s="204">
        <f>SUM(AB43:AB52)</f>
        <v>0</v>
      </c>
      <c r="AC53" s="205"/>
      <c r="AD53" s="204">
        <f>SUM(AD43:AD52)</f>
        <v>0</v>
      </c>
      <c r="AE53" s="205"/>
      <c r="AF53" s="447">
        <f t="shared" si="2"/>
        <v>0</v>
      </c>
      <c r="AG53" s="198"/>
    </row>
    <row r="54" spans="2:33">
      <c r="B54" s="61" t="s">
        <v>1057</v>
      </c>
      <c r="C54" s="480"/>
      <c r="D54" s="481"/>
      <c r="E54" s="481"/>
      <c r="F54" s="481"/>
      <c r="G54" s="61"/>
      <c r="H54" s="481"/>
      <c r="I54" s="61"/>
      <c r="J54" s="482">
        <f>+CALCUL_ALTER!L100</f>
        <v>0</v>
      </c>
      <c r="K54" s="198"/>
      <c r="M54" s="61" t="s">
        <v>1057</v>
      </c>
      <c r="N54" s="480"/>
      <c r="O54" s="481"/>
      <c r="P54" s="481"/>
      <c r="Q54" s="481"/>
      <c r="R54" s="61"/>
      <c r="S54" s="481"/>
      <c r="T54" s="61"/>
      <c r="U54" s="482">
        <f>+CALCUL_ALTER!AE100</f>
        <v>0</v>
      </c>
      <c r="V54" s="198"/>
      <c r="X54" s="61" t="s">
        <v>1057</v>
      </c>
      <c r="Y54" s="480"/>
      <c r="Z54" s="481"/>
      <c r="AA54" s="481"/>
      <c r="AB54" s="481"/>
      <c r="AC54" s="61"/>
      <c r="AD54" s="481"/>
      <c r="AE54" s="61"/>
      <c r="AF54" s="482">
        <f>+CALCUL_ALTER!AX100</f>
        <v>0</v>
      </c>
      <c r="AG54" s="198"/>
    </row>
    <row r="55" spans="2:33">
      <c r="K55" s="198"/>
      <c r="V55" s="198"/>
      <c r="AG55" s="198"/>
    </row>
    <row r="56" spans="2:33">
      <c r="B56" s="2" t="s">
        <v>338</v>
      </c>
      <c r="K56" s="198"/>
      <c r="M56" s="2" t="s">
        <v>338</v>
      </c>
      <c r="V56" s="198"/>
      <c r="X56" s="2" t="s">
        <v>338</v>
      </c>
      <c r="AG56" s="198"/>
    </row>
    <row r="57" spans="2:33">
      <c r="B57" s="3" t="s">
        <v>337</v>
      </c>
      <c r="D57" s="340"/>
      <c r="E57" s="3" t="s">
        <v>108</v>
      </c>
      <c r="F57" s="520"/>
      <c r="G57" s="520"/>
      <c r="H57" s="520"/>
      <c r="I57" s="520"/>
      <c r="J57" s="520"/>
      <c r="K57" s="198"/>
      <c r="M57" s="3" t="s">
        <v>337</v>
      </c>
      <c r="O57" s="340"/>
      <c r="P57" s="3" t="s">
        <v>108</v>
      </c>
      <c r="Q57" s="520"/>
      <c r="R57" s="520"/>
      <c r="S57" s="520"/>
      <c r="T57" s="520"/>
      <c r="U57" s="520"/>
      <c r="V57" s="198"/>
      <c r="X57" s="3" t="s">
        <v>337</v>
      </c>
      <c r="Z57" s="340"/>
      <c r="AA57" s="3" t="s">
        <v>108</v>
      </c>
      <c r="AB57" s="520"/>
      <c r="AC57" s="520"/>
      <c r="AD57" s="520"/>
      <c r="AE57" s="520"/>
      <c r="AF57" s="520"/>
      <c r="AG57" s="198"/>
    </row>
    <row r="58" spans="2:33">
      <c r="B58" s="3" t="s">
        <v>290</v>
      </c>
      <c r="D58" s="378"/>
      <c r="E58" s="3" t="s">
        <v>291</v>
      </c>
      <c r="F58" s="520"/>
      <c r="G58" s="520"/>
      <c r="H58" s="520"/>
      <c r="I58" s="520"/>
      <c r="J58" s="520"/>
      <c r="K58" s="198"/>
      <c r="M58" s="3" t="s">
        <v>290</v>
      </c>
      <c r="O58" s="378"/>
      <c r="P58" s="3" t="s">
        <v>291</v>
      </c>
      <c r="Q58" s="520"/>
      <c r="R58" s="520"/>
      <c r="S58" s="520"/>
      <c r="T58" s="520"/>
      <c r="U58" s="520"/>
      <c r="V58" s="198"/>
      <c r="X58" s="3" t="s">
        <v>290</v>
      </c>
      <c r="Z58" s="378"/>
      <c r="AA58" s="3" t="s">
        <v>291</v>
      </c>
      <c r="AB58" s="520"/>
      <c r="AC58" s="520"/>
      <c r="AD58" s="520"/>
      <c r="AE58" s="520"/>
      <c r="AF58" s="520"/>
      <c r="AG58" s="198"/>
    </row>
    <row r="59" spans="2:33">
      <c r="B59" s="3" t="s">
        <v>296</v>
      </c>
      <c r="D59" s="41" t="str">
        <f>+CALCUL_ALTER!L53</f>
        <v>falta cabal</v>
      </c>
      <c r="E59" s="3" t="s">
        <v>1</v>
      </c>
      <c r="F59" s="520"/>
      <c r="G59" s="520"/>
      <c r="H59" s="520"/>
      <c r="I59" s="520"/>
      <c r="J59" s="520"/>
      <c r="K59" s="198"/>
      <c r="M59" s="3" t="s">
        <v>296</v>
      </c>
      <c r="O59" s="41" t="str">
        <f>+CALCUL_ALTER!AE53</f>
        <v>falta cabal</v>
      </c>
      <c r="P59" s="3" t="s">
        <v>1</v>
      </c>
      <c r="Q59" s="520"/>
      <c r="R59" s="520"/>
      <c r="S59" s="520"/>
      <c r="T59" s="520"/>
      <c r="U59" s="520"/>
      <c r="V59" s="198"/>
      <c r="X59" s="3" t="s">
        <v>296</v>
      </c>
      <c r="Z59" s="41" t="str">
        <f>+CALCUL_ALTER!AX53</f>
        <v>falta cabal</v>
      </c>
      <c r="AA59" s="3" t="s">
        <v>1</v>
      </c>
      <c r="AB59" s="520"/>
      <c r="AC59" s="520"/>
      <c r="AD59" s="520"/>
      <c r="AE59" s="520"/>
      <c r="AF59" s="520"/>
      <c r="AG59" s="198"/>
    </row>
    <row r="60" spans="2:33">
      <c r="K60" s="198"/>
      <c r="V60" s="198"/>
      <c r="AG60" s="198"/>
    </row>
    <row r="61" spans="2:33">
      <c r="B61" s="1" t="s">
        <v>417</v>
      </c>
      <c r="C61" s="1"/>
      <c r="D61" s="1"/>
      <c r="E61" s="1"/>
      <c r="F61" s="1"/>
      <c r="G61" s="1"/>
      <c r="H61" s="1"/>
      <c r="I61" s="1"/>
      <c r="J61" s="1"/>
      <c r="K61" s="198"/>
      <c r="M61" s="1" t="s">
        <v>417</v>
      </c>
      <c r="N61" s="1"/>
      <c r="O61" s="1"/>
      <c r="P61" s="1"/>
      <c r="Q61" s="1"/>
      <c r="R61" s="1"/>
      <c r="S61" s="1"/>
      <c r="T61" s="1"/>
      <c r="U61" s="1"/>
      <c r="V61" s="198"/>
      <c r="X61" s="1" t="s">
        <v>417</v>
      </c>
      <c r="Y61" s="1"/>
      <c r="Z61" s="1"/>
      <c r="AA61" s="1"/>
      <c r="AB61" s="1"/>
      <c r="AC61" s="1"/>
      <c r="AD61" s="1"/>
      <c r="AE61" s="1"/>
      <c r="AF61" s="1"/>
      <c r="AG61" s="198"/>
    </row>
    <row r="62" spans="2:33" ht="14.4" customHeight="1">
      <c r="B62" s="3" t="s">
        <v>1058</v>
      </c>
      <c r="D62" s="340"/>
      <c r="E62" s="3" t="s">
        <v>43</v>
      </c>
      <c r="F62" s="520"/>
      <c r="G62" s="520"/>
      <c r="H62" s="520"/>
      <c r="I62" s="520"/>
      <c r="J62" s="520"/>
      <c r="K62" s="198"/>
      <c r="M62" s="3" t="s">
        <v>1058</v>
      </c>
      <c r="O62" s="340"/>
      <c r="P62" s="3" t="s">
        <v>43</v>
      </c>
      <c r="Q62" s="520"/>
      <c r="R62" s="520"/>
      <c r="S62" s="520"/>
      <c r="T62" s="520"/>
      <c r="U62" s="520"/>
      <c r="V62" s="198"/>
      <c r="X62" s="3" t="s">
        <v>1058</v>
      </c>
      <c r="Z62" s="340"/>
      <c r="AA62" s="3" t="s">
        <v>43</v>
      </c>
      <c r="AB62" s="520"/>
      <c r="AC62" s="520"/>
      <c r="AD62" s="520"/>
      <c r="AE62" s="520"/>
      <c r="AF62" s="520"/>
      <c r="AG62" s="198"/>
    </row>
    <row r="63" spans="2:33">
      <c r="B63" s="3" t="s">
        <v>419</v>
      </c>
      <c r="D63" s="340"/>
      <c r="E63" s="3" t="s">
        <v>37</v>
      </c>
      <c r="F63" s="520"/>
      <c r="G63" s="520"/>
      <c r="H63" s="520"/>
      <c r="I63" s="520"/>
      <c r="J63" s="520"/>
      <c r="K63" s="198"/>
      <c r="M63" s="3" t="s">
        <v>419</v>
      </c>
      <c r="O63" s="340"/>
      <c r="P63" s="3" t="s">
        <v>37</v>
      </c>
      <c r="Q63" s="520"/>
      <c r="R63" s="520"/>
      <c r="S63" s="520"/>
      <c r="T63" s="520"/>
      <c r="U63" s="520"/>
      <c r="V63" s="198"/>
      <c r="X63" s="3" t="s">
        <v>419</v>
      </c>
      <c r="Z63" s="340"/>
      <c r="AA63" s="3" t="s">
        <v>37</v>
      </c>
      <c r="AB63" s="520"/>
      <c r="AC63" s="520"/>
      <c r="AD63" s="520"/>
      <c r="AE63" s="520"/>
      <c r="AF63" s="520"/>
      <c r="AG63" s="198"/>
    </row>
    <row r="64" spans="2:33">
      <c r="B64" s="3" t="s">
        <v>420</v>
      </c>
      <c r="D64" s="340"/>
      <c r="E64" s="3" t="s">
        <v>421</v>
      </c>
      <c r="F64" s="520"/>
      <c r="G64" s="520"/>
      <c r="H64" s="520"/>
      <c r="I64" s="520"/>
      <c r="J64" s="520"/>
      <c r="K64" s="198"/>
      <c r="M64" s="3" t="s">
        <v>420</v>
      </c>
      <c r="O64" s="340"/>
      <c r="P64" s="3" t="s">
        <v>421</v>
      </c>
      <c r="Q64" s="520"/>
      <c r="R64" s="520"/>
      <c r="S64" s="520"/>
      <c r="T64" s="520"/>
      <c r="U64" s="520"/>
      <c r="V64" s="198"/>
      <c r="X64" s="3" t="s">
        <v>420</v>
      </c>
      <c r="Z64" s="340"/>
      <c r="AA64" s="3" t="s">
        <v>421</v>
      </c>
      <c r="AB64" s="520"/>
      <c r="AC64" s="520"/>
      <c r="AD64" s="520"/>
      <c r="AE64" s="520"/>
      <c r="AF64" s="520"/>
      <c r="AG64" s="198"/>
    </row>
    <row r="65" spans="11:22">
      <c r="K65" s="198"/>
      <c r="V65" s="198"/>
    </row>
    <row r="66" spans="11:22">
      <c r="K66" s="198"/>
      <c r="V66" s="198"/>
    </row>
    <row r="67" spans="11:22">
      <c r="K67" s="198"/>
      <c r="V67" s="198"/>
    </row>
    <row r="68" spans="11:22">
      <c r="K68" s="198"/>
      <c r="V68" s="198" t="s">
        <v>443</v>
      </c>
    </row>
    <row r="69" spans="11:22">
      <c r="K69" s="198"/>
      <c r="V69" s="198" t="s">
        <v>443</v>
      </c>
    </row>
    <row r="70" spans="11:22">
      <c r="K70" s="198"/>
      <c r="V70" s="198" t="s">
        <v>443</v>
      </c>
    </row>
    <row r="71" spans="11:22">
      <c r="K71" s="198"/>
      <c r="V71" s="198" t="s">
        <v>443</v>
      </c>
    </row>
    <row r="72" spans="11:22">
      <c r="K72" s="198"/>
      <c r="V72" s="198"/>
    </row>
    <row r="73" spans="11:22">
      <c r="K73" s="198"/>
      <c r="V73" s="198"/>
    </row>
  </sheetData>
  <sheetProtection sheet="1" objects="1" scenarios="1"/>
  <mergeCells count="45">
    <mergeCell ref="Q40:R40"/>
    <mergeCell ref="S40:T40"/>
    <mergeCell ref="M19:T19"/>
    <mergeCell ref="H40:I40"/>
    <mergeCell ref="F40:G40"/>
    <mergeCell ref="B19:I19"/>
    <mergeCell ref="B14:I14"/>
    <mergeCell ref="B31:I31"/>
    <mergeCell ref="AB57:AF59"/>
    <mergeCell ref="AB32:AF34"/>
    <mergeCell ref="AB26:AF28"/>
    <mergeCell ref="AB15:AF17"/>
    <mergeCell ref="F57:J59"/>
    <mergeCell ref="F32:J34"/>
    <mergeCell ref="F15:J17"/>
    <mergeCell ref="F26:J28"/>
    <mergeCell ref="Q15:U17"/>
    <mergeCell ref="Q26:U28"/>
    <mergeCell ref="Q32:U34"/>
    <mergeCell ref="Q57:U59"/>
    <mergeCell ref="F62:J64"/>
    <mergeCell ref="Q62:U64"/>
    <mergeCell ref="AB62:AF64"/>
    <mergeCell ref="Z6:AA6"/>
    <mergeCell ref="Z10:AA10"/>
    <mergeCell ref="Z39:AA39"/>
    <mergeCell ref="AB39:AE39"/>
    <mergeCell ref="AB40:AC40"/>
    <mergeCell ref="AD40:AE40"/>
    <mergeCell ref="X19:AE19"/>
    <mergeCell ref="X14:AE14"/>
    <mergeCell ref="X31:AE31"/>
    <mergeCell ref="AB6:AF11"/>
    <mergeCell ref="O6:P6"/>
    <mergeCell ref="O10:P10"/>
    <mergeCell ref="M14:T14"/>
    <mergeCell ref="Q6:U11"/>
    <mergeCell ref="M31:T31"/>
    <mergeCell ref="F39:I39"/>
    <mergeCell ref="Q39:T39"/>
    <mergeCell ref="D6:E6"/>
    <mergeCell ref="D10:E10"/>
    <mergeCell ref="D39:E39"/>
    <mergeCell ref="F6:J11"/>
    <mergeCell ref="O39:P39"/>
  </mergeCells>
  <dataValidations count="1">
    <dataValidation allowBlank="1" showInputMessage="1" showErrorMessage="1" promptTitle="Pot.Elec.Sist.Aux" prompt="indicar el sumatori de potència elèctrica del cremador, el ventilador d'aire de combustió i la bomba circuladora del primari i secundari._x000a_" sqref="O11:O12 D11:D12 D9 O9 Z11:Z12 Z9" xr:uid="{75A2A924-498F-4455-9F97-A6C07353A291}"/>
  </dataValidations>
  <hyperlinks>
    <hyperlink ref="B8" location="eina_rendiments!A1" display="Rendiment generador" xr:uid="{04557B8D-A136-4D19-8494-A064FBB87B97}"/>
    <hyperlink ref="M8" location="'Rendiment Generadors'!A1" display="Rendiment generador" xr:uid="{9B3C9FEE-A423-4BB8-829F-8FFC9F138B49}"/>
    <hyperlink ref="X8" location="'Rendiment Generadors'!A1" display="Rendiment generador" xr:uid="{49611022-C14D-49FB-8B5F-136A46DEB363}"/>
  </hyperlinks>
  <pageMargins left="0.39370078740157483" right="0.39370078740157483" top="0.74803149606299213" bottom="0.74803149606299213" header="0.31496062992125984" footer="0.31496062992125984"/>
  <pageSetup paperSize="9" scale="66" orientation="portrait" r:id="rId1"/>
  <rowBreaks count="1" manualBreakCount="1">
    <brk id="60" max="32" man="1"/>
  </rowBreaks>
  <colBreaks count="2" manualBreakCount="2">
    <brk id="11" max="71" man="1"/>
    <brk id="22" max="71" man="1"/>
  </colBreaks>
  <drawing r:id="rId2"/>
  <legacyDrawing r:id="rId3"/>
  <extLst>
    <ext xmlns:x14="http://schemas.microsoft.com/office/spreadsheetml/2009/9/main" uri="{78C0D931-6437-407d-A8EE-F0AAD7539E65}">
      <x14:conditionalFormattings>
        <x14:conditionalFormatting xmlns:xm="http://schemas.microsoft.com/office/excel/2006/main">
          <x14:cfRule type="iconSet" priority="5" id="{3A756ECF-E001-46E1-ADDF-AAA266EE8CD7}">
            <x14:iconSet iconSet="3Symbols2" custom="1">
              <x14:cfvo type="percent">
                <xm:f>0</xm:f>
              </x14:cfvo>
              <x14:cfvo type="num">
                <xm:f>50</xm:f>
              </x14:cfvo>
              <x14:cfvo type="num" gte="0">
                <xm:f>50</xm:f>
              </x14:cfvo>
              <x14:cfIcon iconSet="3Symbols2" iconId="0"/>
              <x14:cfIcon iconSet="3Symbols2" iconId="2"/>
              <x14:cfIcon iconSet="3Symbols2" iconId="2"/>
            </x14:iconSet>
          </x14:cfRule>
          <xm:sqref>D59</xm:sqref>
        </x14:conditionalFormatting>
        <x14:conditionalFormatting xmlns:xm="http://schemas.microsoft.com/office/excel/2006/main">
          <x14:cfRule type="iconSet" priority="2" id="{589511EB-F916-430E-8FC2-78049F8F7F37}">
            <x14:iconSet iconSet="3Symbols2" custom="1">
              <x14:cfvo type="percent">
                <xm:f>0</xm:f>
              </x14:cfvo>
              <x14:cfvo type="num">
                <xm:f>50</xm:f>
              </x14:cfvo>
              <x14:cfvo type="num" gte="0">
                <xm:f>50</xm:f>
              </x14:cfvo>
              <x14:cfIcon iconSet="3Symbols2" iconId="0"/>
              <x14:cfIcon iconSet="3Symbols2" iconId="2"/>
              <x14:cfIcon iconSet="3Symbols2" iconId="2"/>
            </x14:iconSet>
          </x14:cfRule>
          <xm:sqref>O59</xm:sqref>
        </x14:conditionalFormatting>
        <x14:conditionalFormatting xmlns:xm="http://schemas.microsoft.com/office/excel/2006/main">
          <x14:cfRule type="iconSet" priority="1" id="{0CA55614-A9AA-4130-86A5-7A4F9C234A32}">
            <x14:iconSet iconSet="3Symbols2" custom="1">
              <x14:cfvo type="percent">
                <xm:f>0</xm:f>
              </x14:cfvo>
              <x14:cfvo type="num">
                <xm:f>50</xm:f>
              </x14:cfvo>
              <x14:cfvo type="num" gte="0">
                <xm:f>50</xm:f>
              </x14:cfvo>
              <x14:cfIcon iconSet="3Symbols2" iconId="0"/>
              <x14:cfIcon iconSet="3Symbols2" iconId="2"/>
              <x14:cfIcon iconSet="3Symbols2" iconId="2"/>
            </x14:iconSet>
          </x14:cfRule>
          <xm:sqref>Z59</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5BBC7295-6D49-4D39-8E86-C5CA2E06CFDC}">
          <x14:formula1>
            <xm:f>desplegables!$A$3:$A$10</xm:f>
          </x14:formula1>
          <xm:sqref>D10:E10 O10:P10 Z10:AA10</xm:sqref>
        </x14:dataValidation>
        <x14:dataValidation type="list" allowBlank="1" showInputMessage="1" showErrorMessage="1" xr:uid="{254DDC90-036B-4EF8-AED6-A646426451D0}">
          <x14:formula1>
            <xm:f>perdues_diposit!$A$11:$A$32</xm:f>
          </x14:formula1>
          <xm:sqref>C22:C24 N22:N24 Y22:Y24</xm:sqref>
        </x14:dataValidation>
        <x14:dataValidation type="list" allowBlank="1" showInputMessage="1" showErrorMessage="1" xr:uid="{0632F1D6-76E2-4470-B45B-A600A07B58FE}">
          <x14:formula1>
            <xm:f>perdues_diposit!$B$9:$H$9</xm:f>
          </x14:formula1>
          <xm:sqref>D22:D24 O22:O24 Z22:Z24</xm:sqref>
        </x14:dataValidation>
        <x14:dataValidation type="list" allowBlank="1" showInputMessage="1" showErrorMessage="1" xr:uid="{0A6E3900-DB55-4BC8-9B3B-50AF0B58AD7C}">
          <x14:formula1>
            <xm:f>desplegables!$H$1:$H$10</xm:f>
          </x14:formula1>
          <xm:sqref>D6 O6 Z6</xm:sqref>
        </x14:dataValidation>
        <x14:dataValidation type="list" allowBlank="1" showInputMessage="1" showErrorMessage="1" xr:uid="{6732C25A-D983-4C59-A620-85E34020C551}">
          <x14:formula1>
            <xm:f>perdues_xarxa!$C$27:$I$27</xm:f>
          </x14:formula1>
          <xm:sqref>T47:T52 R47:R52</xm:sqref>
        </x14:dataValidation>
        <x14:dataValidation type="list" allowBlank="1" showInputMessage="1" showErrorMessage="1" xr:uid="{B711B6A6-55F4-4089-B861-FC7EB944725E}">
          <x14:formula1>
            <xm:f>perdues_xarxa!$C$27:$J$27</xm:f>
          </x14:formula1>
          <xm:sqref>G43:G52 I43:I52 AC43:AC52 AE43:AE52 R43:R46 T43:T46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1F31A-A9C8-40F0-AB2E-1E54663B9688}">
  <sheetPr codeName="Full5">
    <tabColor theme="8" tint="0.39997558519241921"/>
    <pageSetUpPr fitToPage="1"/>
  </sheetPr>
  <dimension ref="A1:AB245"/>
  <sheetViews>
    <sheetView showGridLines="0" view="pageBreakPreview" zoomScale="85" zoomScaleNormal="85" zoomScaleSheetLayoutView="85" workbookViewId="0">
      <pane ySplit="3" topLeftCell="A4" activePane="bottomLeft" state="frozen"/>
      <selection pane="bottomLeft" activeCell="C35" sqref="C35"/>
    </sheetView>
  </sheetViews>
  <sheetFormatPr defaultRowHeight="14.4"/>
  <cols>
    <col min="1" max="1" width="5.44140625" style="3" customWidth="1"/>
    <col min="2" max="2" width="4.77734375" style="3" customWidth="1"/>
    <col min="3" max="3" width="19.33203125" style="3" customWidth="1"/>
    <col min="4" max="4" width="8.88671875" style="3"/>
    <col min="5" max="5" width="10.77734375" style="3" customWidth="1"/>
    <col min="6" max="10" width="10" style="3" customWidth="1"/>
    <col min="11" max="11" width="6.5546875" style="3" customWidth="1"/>
    <col min="12" max="12" width="8.6640625" style="3" customWidth="1"/>
    <col min="13" max="13" width="8.88671875" style="3" customWidth="1"/>
    <col min="14" max="18" width="8.88671875" style="3"/>
    <col min="19" max="19" width="4.109375" style="3" customWidth="1"/>
    <col min="20" max="16384" width="8.88671875" style="3"/>
  </cols>
  <sheetData>
    <row r="1" spans="1:28" s="46" customFormat="1" ht="18">
      <c r="A1" s="97" t="s">
        <v>142</v>
      </c>
      <c r="D1" s="47">
        <f>+DADES_ACTUAL!C1</f>
        <v>0</v>
      </c>
      <c r="J1" s="97" t="s">
        <v>143</v>
      </c>
      <c r="K1" s="48">
        <f>+DADES_ACTUAL!J1</f>
        <v>0</v>
      </c>
    </row>
    <row r="2" spans="1:28" s="46" customFormat="1" ht="18" customHeight="1">
      <c r="A2" s="150" t="s">
        <v>463</v>
      </c>
      <c r="B2" s="150"/>
      <c r="D2" s="258">
        <f>+DADES_ACTUAL!C2</f>
        <v>0</v>
      </c>
      <c r="E2" s="258"/>
      <c r="F2" s="258"/>
      <c r="G2" s="258"/>
      <c r="H2" s="258"/>
      <c r="J2" s="97"/>
      <c r="K2" s="48"/>
    </row>
    <row r="3" spans="1:28" ht="18">
      <c r="A3" s="198"/>
      <c r="B3" s="198"/>
      <c r="C3" s="199" t="s">
        <v>442</v>
      </c>
      <c r="D3" s="198"/>
      <c r="E3" s="198"/>
      <c r="F3" s="198"/>
      <c r="G3" s="198"/>
      <c r="H3" s="198"/>
      <c r="I3" s="198"/>
      <c r="J3" s="198"/>
      <c r="K3" s="198"/>
      <c r="L3" s="198"/>
      <c r="M3" s="198"/>
      <c r="N3" s="198"/>
      <c r="O3" s="198"/>
      <c r="P3" s="198"/>
      <c r="Q3" s="198"/>
      <c r="R3" s="198"/>
      <c r="S3" s="198"/>
      <c r="T3" s="46"/>
      <c r="U3" s="46"/>
      <c r="V3" s="46"/>
      <c r="W3" s="46"/>
      <c r="X3" s="46"/>
      <c r="Y3" s="46"/>
      <c r="Z3" s="46"/>
      <c r="AA3" s="46"/>
      <c r="AB3" s="46"/>
    </row>
    <row r="4" spans="1:28">
      <c r="H4" s="125"/>
      <c r="T4" s="46"/>
      <c r="U4" s="46"/>
      <c r="V4" s="46"/>
      <c r="W4" s="46"/>
      <c r="X4" s="46"/>
      <c r="Y4" s="46"/>
      <c r="Z4" s="46"/>
      <c r="AA4" s="46"/>
      <c r="AB4" s="46"/>
    </row>
    <row r="5" spans="1:28" ht="15.6">
      <c r="B5" s="55" t="s">
        <v>438</v>
      </c>
      <c r="C5" s="1"/>
      <c r="D5" s="1"/>
      <c r="E5" s="1"/>
      <c r="F5" s="1"/>
      <c r="G5" s="1"/>
      <c r="H5" s="1"/>
      <c r="I5" s="1"/>
      <c r="J5" s="1"/>
      <c r="K5" s="1"/>
      <c r="L5" s="1"/>
      <c r="M5" s="1"/>
      <c r="N5" s="1"/>
      <c r="O5" s="1"/>
      <c r="P5" s="1"/>
      <c r="Q5" s="1"/>
      <c r="R5" s="1"/>
      <c r="S5" s="1"/>
      <c r="T5" s="46"/>
      <c r="U5" s="46"/>
      <c r="V5" s="46"/>
      <c r="W5" s="46"/>
      <c r="X5" s="46"/>
      <c r="Y5" s="46"/>
      <c r="Z5" s="46"/>
      <c r="AA5" s="46"/>
      <c r="AB5" s="46"/>
    </row>
    <row r="6" spans="1:28" ht="18">
      <c r="B6" s="140"/>
      <c r="T6" s="46"/>
      <c r="U6" s="46"/>
      <c r="V6" s="46"/>
      <c r="W6" s="46"/>
      <c r="X6" s="46"/>
      <c r="Y6" s="46"/>
      <c r="Z6" s="46"/>
      <c r="AA6" s="46"/>
      <c r="AB6" s="46"/>
    </row>
    <row r="7" spans="1:28">
      <c r="B7" s="25"/>
      <c r="C7" s="26"/>
      <c r="D7" s="130" t="s">
        <v>341</v>
      </c>
      <c r="E7" s="133"/>
      <c r="F7" s="26"/>
      <c r="G7" s="27"/>
      <c r="T7" s="46"/>
      <c r="U7" s="46"/>
      <c r="V7" s="46"/>
      <c r="W7" s="46"/>
      <c r="X7" s="46"/>
      <c r="Y7" s="46"/>
      <c r="Z7" s="46"/>
      <c r="AA7" s="46"/>
      <c r="AB7" s="46"/>
    </row>
    <row r="8" spans="1:28" s="4" customFormat="1">
      <c r="B8" s="218"/>
      <c r="D8" s="219" t="s">
        <v>21</v>
      </c>
      <c r="F8" s="16" t="s">
        <v>263</v>
      </c>
      <c r="G8" s="220" t="s">
        <v>65</v>
      </c>
      <c r="H8" s="3"/>
      <c r="I8" s="3"/>
      <c r="T8" s="46"/>
      <c r="U8" s="46"/>
      <c r="V8" s="46"/>
      <c r="W8" s="46"/>
      <c r="X8" s="46"/>
      <c r="Y8" s="46"/>
      <c r="Z8" s="46"/>
      <c r="AA8" s="46"/>
      <c r="AB8" s="46"/>
    </row>
    <row r="9" spans="1:28">
      <c r="B9" s="232" t="s">
        <v>92</v>
      </c>
      <c r="C9" s="9"/>
      <c r="D9" s="132" t="e">
        <f>+CALCULS_ACTUAL!P7</f>
        <v>#DIV/0!</v>
      </c>
      <c r="E9" s="52" t="e">
        <f>+D9/$D$12</f>
        <v>#DIV/0!</v>
      </c>
      <c r="F9" s="157" t="e">
        <f>+CALCULS_ACTUAL!R7</f>
        <v>#DIV/0!</v>
      </c>
      <c r="G9" s="175" t="e">
        <f>+CALCULS_ACTUAL!S7</f>
        <v>#DIV/0!</v>
      </c>
      <c r="T9" s="46"/>
      <c r="U9" s="46"/>
      <c r="V9" s="46"/>
      <c r="W9" s="46"/>
      <c r="X9" s="46"/>
      <c r="Y9" s="46"/>
      <c r="Z9" s="46"/>
      <c r="AA9" s="46"/>
      <c r="AB9" s="46"/>
    </row>
    <row r="10" spans="1:28">
      <c r="B10" s="232" t="s">
        <v>93</v>
      </c>
      <c r="D10" s="132" t="e">
        <f>+CALCULS_ACTUAL!P8</f>
        <v>#DIV/0!</v>
      </c>
      <c r="E10" s="52" t="e">
        <f>+D10/$D$12</f>
        <v>#DIV/0!</v>
      </c>
      <c r="F10" s="157" t="e">
        <f>+CALCULS_ACTUAL!R8</f>
        <v>#DIV/0!</v>
      </c>
      <c r="G10" s="175" t="e">
        <f>+CALCULS_ACTUAL!S8</f>
        <v>#DIV/0!</v>
      </c>
      <c r="T10" s="46"/>
      <c r="U10" s="46"/>
      <c r="V10" s="46"/>
      <c r="W10" s="46"/>
      <c r="X10" s="46"/>
      <c r="Y10" s="46"/>
      <c r="Z10" s="46"/>
      <c r="AA10" s="46"/>
      <c r="AB10" s="46"/>
    </row>
    <row r="11" spans="1:28">
      <c r="B11" s="232" t="s">
        <v>310</v>
      </c>
      <c r="C11" s="9"/>
      <c r="D11" s="132" t="e">
        <f>+CALCULS_ACTUAL!P9</f>
        <v>#DIV/0!</v>
      </c>
      <c r="E11" s="52" t="e">
        <f>+D11/$D$12</f>
        <v>#DIV/0!</v>
      </c>
      <c r="F11" s="157" t="e">
        <f>+CALCULS_ACTUAL!R9</f>
        <v>#DIV/0!</v>
      </c>
      <c r="G11" s="175" t="e">
        <f>+CALCULS_ACTUAL!S9</f>
        <v>#DIV/0!</v>
      </c>
      <c r="T11" s="46"/>
      <c r="U11" s="46"/>
      <c r="V11" s="46"/>
      <c r="W11" s="46"/>
      <c r="X11" s="46"/>
      <c r="Y11" s="46"/>
      <c r="Z11" s="46"/>
      <c r="AA11" s="46"/>
      <c r="AB11" s="46"/>
    </row>
    <row r="12" spans="1:28">
      <c r="B12" s="137" t="s">
        <v>94</v>
      </c>
      <c r="C12" s="138"/>
      <c r="D12" s="174" t="e">
        <f>SUM(D9:D11)</f>
        <v>#DIV/0!</v>
      </c>
      <c r="E12" s="139" t="e">
        <f>+D12/$D$12</f>
        <v>#DIV/0!</v>
      </c>
      <c r="F12" s="176" t="e">
        <f>SUM(F9:F11)</f>
        <v>#DIV/0!</v>
      </c>
      <c r="G12" s="177" t="e">
        <f>SUM(G9:G11)</f>
        <v>#DIV/0!</v>
      </c>
      <c r="T12" s="46"/>
      <c r="U12" s="46"/>
      <c r="V12" s="46"/>
      <c r="W12" s="46"/>
      <c r="X12" s="46"/>
      <c r="Y12" s="46"/>
      <c r="Z12" s="46"/>
      <c r="AA12" s="46"/>
      <c r="AB12" s="46"/>
    </row>
    <row r="13" spans="1:28">
      <c r="T13" s="46"/>
      <c r="U13" s="46"/>
      <c r="V13" s="46"/>
      <c r="W13" s="46"/>
      <c r="X13" s="46"/>
      <c r="Y13" s="46"/>
      <c r="Z13" s="46"/>
      <c r="AA13" s="46"/>
      <c r="AB13" s="46"/>
    </row>
    <row r="14" spans="1:28" ht="15.6">
      <c r="B14" s="347" t="s">
        <v>299</v>
      </c>
      <c r="C14" s="348"/>
      <c r="D14" s="349" t="e">
        <f>+CALCULS_ACTUAL!J12</f>
        <v>#DIV/0!</v>
      </c>
      <c r="E14" s="350" t="s">
        <v>32</v>
      </c>
      <c r="T14" s="46"/>
      <c r="U14" s="46"/>
      <c r="V14" s="46"/>
      <c r="W14" s="46"/>
      <c r="X14" s="46"/>
      <c r="Y14" s="46"/>
      <c r="Z14" s="46"/>
      <c r="AA14" s="46"/>
      <c r="AB14" s="46"/>
    </row>
    <row r="15" spans="1:28" ht="15.6">
      <c r="B15" s="347" t="s">
        <v>154</v>
      </c>
      <c r="C15" s="348"/>
      <c r="D15" s="349" t="e">
        <f>+CALCULS_ACTUAL!J13</f>
        <v>#DIV/0!</v>
      </c>
      <c r="E15" s="350" t="s">
        <v>43</v>
      </c>
      <c r="T15" s="46"/>
      <c r="U15" s="46"/>
      <c r="V15" s="46"/>
      <c r="W15" s="46"/>
      <c r="X15" s="46"/>
      <c r="Y15" s="46"/>
      <c r="Z15" s="46"/>
      <c r="AA15" s="46"/>
      <c r="AB15" s="46"/>
    </row>
    <row r="16" spans="1:28" ht="15.6">
      <c r="B16" s="347" t="s">
        <v>153</v>
      </c>
      <c r="C16" s="348"/>
      <c r="D16" s="349" t="e">
        <f>+CALCULS_ACTUAL!J14</f>
        <v>#DIV/0!</v>
      </c>
      <c r="E16" s="350" t="s">
        <v>65</v>
      </c>
      <c r="T16" s="46"/>
      <c r="U16" s="46"/>
      <c r="V16" s="46"/>
      <c r="W16" s="46"/>
      <c r="X16" s="46"/>
      <c r="Y16" s="46"/>
      <c r="Z16" s="46"/>
      <c r="AA16" s="46"/>
      <c r="AB16" s="46"/>
    </row>
    <row r="17" spans="2:28">
      <c r="B17" s="8" t="s">
        <v>965</v>
      </c>
      <c r="C17" s="9"/>
      <c r="D17" s="51">
        <f>+CALCULS_ACTUAL!J15</f>
        <v>0</v>
      </c>
      <c r="E17" s="10" t="s">
        <v>967</v>
      </c>
      <c r="T17" s="46"/>
      <c r="U17" s="46"/>
      <c r="V17" s="46"/>
      <c r="W17" s="46"/>
      <c r="X17" s="46"/>
      <c r="Y17" s="46"/>
      <c r="Z17" s="46"/>
      <c r="AA17" s="46"/>
      <c r="AB17" s="46"/>
    </row>
    <row r="18" spans="2:28">
      <c r="B18" s="8" t="s">
        <v>963</v>
      </c>
      <c r="C18" s="9"/>
      <c r="D18" s="370" t="e">
        <f>+CALCULS_ACTUAL!J16</f>
        <v>#DIV/0!</v>
      </c>
      <c r="E18" s="10" t="s">
        <v>957</v>
      </c>
      <c r="T18" s="46"/>
      <c r="U18" s="46"/>
      <c r="V18" s="46"/>
      <c r="W18" s="46"/>
      <c r="X18" s="46"/>
      <c r="Y18" s="46"/>
      <c r="Z18" s="46"/>
      <c r="AA18" s="46"/>
      <c r="AB18" s="46"/>
    </row>
    <row r="19" spans="2:28">
      <c r="B19" s="8" t="s">
        <v>361</v>
      </c>
      <c r="C19" s="9"/>
      <c r="D19" s="178" t="e">
        <f>+CALCULS_ACTUAL!J17</f>
        <v>#DIV/0!</v>
      </c>
      <c r="E19" s="10" t="s">
        <v>360</v>
      </c>
      <c r="T19" s="46"/>
      <c r="U19" s="46"/>
      <c r="V19" s="46"/>
      <c r="W19" s="46"/>
      <c r="X19" s="46"/>
      <c r="Y19" s="46"/>
      <c r="Z19" s="46"/>
      <c r="AA19" s="46"/>
      <c r="AB19" s="46"/>
    </row>
    <row r="20" spans="2:28">
      <c r="B20" s="8" t="s">
        <v>968</v>
      </c>
      <c r="C20" s="9"/>
      <c r="D20" s="52" t="e">
        <f>+CALCULS_ACTUAL!J18</f>
        <v>#DIV/0!</v>
      </c>
      <c r="E20" s="10"/>
      <c r="T20" s="46"/>
      <c r="U20" s="46"/>
      <c r="V20" s="46"/>
      <c r="W20" s="46"/>
      <c r="X20" s="46"/>
      <c r="Y20" s="46"/>
      <c r="Z20" s="46"/>
      <c r="AA20" s="46"/>
      <c r="AB20" s="46"/>
    </row>
    <row r="21" spans="2:28">
      <c r="B21" s="8" t="s">
        <v>969</v>
      </c>
      <c r="C21" s="9"/>
      <c r="D21" s="56" t="e">
        <f>+CALCULS_ACTUAL!J19</f>
        <v>#DIV/0!</v>
      </c>
      <c r="E21" s="10"/>
      <c r="T21" s="46"/>
      <c r="U21" s="46"/>
      <c r="V21" s="46"/>
      <c r="W21" s="46"/>
      <c r="X21" s="46"/>
      <c r="Y21" s="46"/>
      <c r="Z21" s="46"/>
      <c r="AA21" s="46"/>
      <c r="AB21" s="46"/>
    </row>
    <row r="22" spans="2:28">
      <c r="T22" s="46"/>
      <c r="U22" s="46"/>
      <c r="V22" s="46"/>
      <c r="W22" s="46"/>
      <c r="X22" s="46"/>
      <c r="Y22" s="46"/>
      <c r="Z22" s="46"/>
      <c r="AA22" s="46"/>
      <c r="AB22" s="46"/>
    </row>
    <row r="23" spans="2:28">
      <c r="T23" s="46"/>
      <c r="U23" s="46"/>
      <c r="V23" s="46"/>
      <c r="W23" s="46"/>
      <c r="X23" s="46"/>
      <c r="Y23" s="46"/>
      <c r="Z23" s="46"/>
      <c r="AA23" s="46"/>
      <c r="AB23" s="46"/>
    </row>
    <row r="24" spans="2:28">
      <c r="T24" s="46"/>
      <c r="U24" s="46"/>
      <c r="V24" s="46"/>
      <c r="W24" s="46"/>
      <c r="X24" s="46"/>
      <c r="Y24" s="46"/>
      <c r="Z24" s="46"/>
      <c r="AA24" s="46"/>
      <c r="AB24" s="46"/>
    </row>
    <row r="25" spans="2:28">
      <c r="T25" s="46"/>
      <c r="U25" s="46"/>
      <c r="V25" s="46"/>
      <c r="W25" s="46"/>
      <c r="X25" s="46"/>
      <c r="Y25" s="46"/>
      <c r="Z25" s="46"/>
      <c r="AA25" s="46"/>
      <c r="AB25" s="46"/>
    </row>
    <row r="26" spans="2:28" ht="15.6">
      <c r="B26" s="241" t="s">
        <v>439</v>
      </c>
      <c r="C26" s="1"/>
      <c r="D26" s="1"/>
      <c r="E26" s="1"/>
      <c r="F26" s="1"/>
      <c r="G26" s="1"/>
      <c r="H26" s="1"/>
      <c r="I26" s="1"/>
      <c r="J26" s="1"/>
      <c r="K26" s="1"/>
      <c r="L26" s="1"/>
      <c r="M26" s="1"/>
      <c r="N26" s="1"/>
      <c r="O26" s="1"/>
      <c r="P26" s="1"/>
      <c r="Q26" s="1"/>
      <c r="R26" s="1"/>
      <c r="S26" s="1"/>
      <c r="T26" s="46"/>
      <c r="U26" s="46"/>
      <c r="V26" s="46"/>
      <c r="W26" s="46"/>
      <c r="X26" s="46"/>
      <c r="Y26" s="46"/>
      <c r="Z26" s="46"/>
      <c r="AA26" s="46"/>
      <c r="AB26" s="46"/>
    </row>
    <row r="27" spans="2:28" ht="15.6">
      <c r="B27" s="244"/>
      <c r="C27" s="2"/>
      <c r="D27" s="2"/>
      <c r="E27" s="2"/>
      <c r="F27" s="2"/>
      <c r="G27" s="2"/>
      <c r="H27" s="2"/>
      <c r="I27" s="2"/>
      <c r="J27" s="2"/>
      <c r="K27" s="2"/>
      <c r="L27" s="2"/>
      <c r="M27" s="2"/>
      <c r="N27" s="2"/>
      <c r="O27" s="2"/>
      <c r="P27" s="2"/>
      <c r="Q27" s="2"/>
      <c r="R27" s="2"/>
      <c r="S27" s="2"/>
      <c r="T27" s="46"/>
      <c r="U27" s="46"/>
      <c r="V27" s="46"/>
      <c r="W27" s="46"/>
      <c r="X27" s="46"/>
      <c r="Y27" s="46"/>
      <c r="Z27" s="46"/>
      <c r="AA27" s="46"/>
      <c r="AB27" s="46"/>
    </row>
    <row r="28" spans="2:28">
      <c r="F28" s="539" t="s">
        <v>262</v>
      </c>
      <c r="G28" s="540"/>
      <c r="H28" s="540"/>
      <c r="I28" s="541"/>
      <c r="J28" s="201" t="s">
        <v>263</v>
      </c>
      <c r="K28" s="142" t="s">
        <v>387</v>
      </c>
      <c r="T28" s="46"/>
      <c r="U28" s="46"/>
      <c r="V28" s="46"/>
      <c r="W28" s="46"/>
      <c r="X28" s="46"/>
      <c r="Y28" s="46"/>
      <c r="Z28" s="46"/>
      <c r="AA28" s="46"/>
      <c r="AB28" s="46"/>
    </row>
    <row r="29" spans="2:28">
      <c r="C29" s="3" t="s">
        <v>388</v>
      </c>
      <c r="F29" s="356" t="s">
        <v>21</v>
      </c>
      <c r="G29" s="357" t="s">
        <v>265</v>
      </c>
      <c r="H29" s="357" t="s">
        <v>43</v>
      </c>
      <c r="I29" s="358" t="s">
        <v>65</v>
      </c>
      <c r="J29" s="221" t="s">
        <v>43</v>
      </c>
      <c r="K29" s="229" t="s">
        <v>421</v>
      </c>
      <c r="T29" s="46"/>
      <c r="U29" s="46"/>
      <c r="V29" s="46"/>
      <c r="W29" s="46"/>
      <c r="X29" s="46"/>
      <c r="Y29" s="46"/>
      <c r="Z29" s="46"/>
      <c r="AA29" s="46"/>
      <c r="AB29" s="46"/>
    </row>
    <row r="30" spans="2:28">
      <c r="B30" s="9">
        <v>1</v>
      </c>
      <c r="C30" s="228" t="s">
        <v>384</v>
      </c>
      <c r="D30" s="9"/>
      <c r="E30" s="9"/>
      <c r="F30" s="132">
        <f>+CALCULS_ACTUAL!D121</f>
        <v>0</v>
      </c>
      <c r="G30" s="52" t="e">
        <f>+F30/$D$14</f>
        <v>#DIV/0!</v>
      </c>
      <c r="H30" s="230">
        <f>+CALCULS_ACTUAL!D122</f>
        <v>0</v>
      </c>
      <c r="I30" s="175" t="e">
        <f>+CALCULS_ACTUAL!D123</f>
        <v>#N/A</v>
      </c>
      <c r="J30" s="246">
        <f>+CALCULS_ACTUAL!D124</f>
        <v>0</v>
      </c>
      <c r="K30" s="251">
        <f>+CALCULS_ACTUAL!D125/12</f>
        <v>0</v>
      </c>
      <c r="T30" s="46"/>
      <c r="U30" s="46"/>
      <c r="V30" s="46"/>
      <c r="W30" s="46"/>
      <c r="X30" s="46"/>
      <c r="Y30" s="46"/>
      <c r="Z30" s="46"/>
      <c r="AA30" s="46"/>
      <c r="AB30" s="46"/>
    </row>
    <row r="31" spans="2:28">
      <c r="B31" s="9">
        <v>2</v>
      </c>
      <c r="C31" s="228" t="s">
        <v>385</v>
      </c>
      <c r="D31" s="9"/>
      <c r="E31" s="9"/>
      <c r="F31" s="132" t="e">
        <f>+CALCULS_ACTUAL!D128</f>
        <v>#DIV/0!</v>
      </c>
      <c r="G31" s="52" t="e">
        <f t="shared" ref="G31:G34" si="0">+F31/$D$14</f>
        <v>#DIV/0!</v>
      </c>
      <c r="H31" s="230" t="e">
        <f>+CALCULS_ACTUAL!D129</f>
        <v>#DIV/0!</v>
      </c>
      <c r="I31" s="175" t="e">
        <f>+CALCULS_ACTUAL!D130</f>
        <v>#DIV/0!</v>
      </c>
      <c r="J31" s="246">
        <f>+CALCULS_ACTUAL!D131</f>
        <v>0</v>
      </c>
      <c r="K31" s="251">
        <f>+CALCULS_ACTUAL!D132/12</f>
        <v>0</v>
      </c>
      <c r="T31" s="46"/>
      <c r="U31" s="46"/>
      <c r="V31" s="46"/>
      <c r="W31" s="46"/>
      <c r="X31" s="46"/>
      <c r="Y31" s="46"/>
      <c r="Z31" s="46"/>
      <c r="AA31" s="46"/>
      <c r="AB31" s="46"/>
    </row>
    <row r="32" spans="2:28">
      <c r="B32" s="9">
        <v>3</v>
      </c>
      <c r="C32" s="228" t="s">
        <v>264</v>
      </c>
      <c r="D32" s="9"/>
      <c r="E32" s="9"/>
      <c r="F32" s="132" t="e">
        <f>+CALCULS_ACTUAL!D141</f>
        <v>#DIV/0!</v>
      </c>
      <c r="G32" s="52" t="e">
        <f t="shared" si="0"/>
        <v>#DIV/0!</v>
      </c>
      <c r="H32" s="230" t="e">
        <f>+CALCULS_ACTUAL!D142</f>
        <v>#DIV/0!</v>
      </c>
      <c r="I32" s="175" t="e">
        <f>+CALCULS_ACTUAL!D143</f>
        <v>#DIV/0!</v>
      </c>
      <c r="J32" s="246">
        <f>+CALCULS_ACTUAL!D146</f>
        <v>0</v>
      </c>
      <c r="K32" s="251">
        <f>+CALCULS_ACTUAL!D147/12</f>
        <v>0</v>
      </c>
      <c r="T32" s="46"/>
      <c r="U32" s="46"/>
      <c r="V32" s="46"/>
      <c r="W32" s="46"/>
      <c r="X32" s="46"/>
      <c r="Y32" s="46"/>
      <c r="Z32" s="46"/>
      <c r="AA32" s="46"/>
      <c r="AB32" s="46"/>
    </row>
    <row r="33" spans="2:28">
      <c r="B33" s="9">
        <v>4</v>
      </c>
      <c r="C33" s="228" t="s">
        <v>386</v>
      </c>
      <c r="D33" s="9"/>
      <c r="E33" s="9"/>
      <c r="F33" s="132">
        <f>+CALCULS_ACTUAL!D153</f>
        <v>0</v>
      </c>
      <c r="G33" s="52" t="e">
        <f t="shared" si="0"/>
        <v>#DIV/0!</v>
      </c>
      <c r="H33" s="230">
        <f>+CALCULS_ACTUAL!D155</f>
        <v>0</v>
      </c>
      <c r="I33" s="175" t="e">
        <f>+CALCULS_ACTUAL!D156</f>
        <v>#N/A</v>
      </c>
      <c r="J33" s="246">
        <f>+CALCULS_ACTUAL!D157</f>
        <v>0</v>
      </c>
      <c r="K33" s="251">
        <f>+CALCULS_ACTUAL!D158/12</f>
        <v>0</v>
      </c>
      <c r="T33" s="46"/>
      <c r="U33" s="46"/>
      <c r="V33" s="46"/>
      <c r="W33" s="46"/>
      <c r="X33" s="46"/>
      <c r="Y33" s="46"/>
      <c r="Z33" s="46"/>
      <c r="AA33" s="46"/>
      <c r="AB33" s="46"/>
    </row>
    <row r="34" spans="2:28">
      <c r="B34" s="9">
        <v>5</v>
      </c>
      <c r="C34" s="228" t="s">
        <v>266</v>
      </c>
      <c r="D34" s="9"/>
      <c r="E34" s="9"/>
      <c r="F34" s="132" t="e">
        <f>+CALCULS_ACTUAL!L224</f>
        <v>#DIV/0!</v>
      </c>
      <c r="G34" s="52" t="e">
        <f t="shared" si="0"/>
        <v>#DIV/0!</v>
      </c>
      <c r="H34" s="230" t="e">
        <f>+CALCULS_ACTUAL!L222</f>
        <v>#DIV/0!</v>
      </c>
      <c r="I34" s="175" t="e">
        <f>+CALCULS_ACTUAL!L226</f>
        <v>#DIV/0!</v>
      </c>
      <c r="J34" s="246">
        <f>+CALCULS_ACTUAL!L221</f>
        <v>0</v>
      </c>
      <c r="K34" s="251">
        <f>+CALCULS_ACTUAL!L223/12</f>
        <v>0</v>
      </c>
      <c r="T34" s="46"/>
      <c r="U34" s="46"/>
      <c r="V34" s="46"/>
      <c r="W34" s="46"/>
      <c r="X34" s="46"/>
      <c r="Y34" s="46"/>
      <c r="Z34" s="46"/>
      <c r="AA34" s="46"/>
      <c r="AB34" s="46"/>
    </row>
    <row r="35" spans="2:28">
      <c r="B35" s="9">
        <v>6</v>
      </c>
      <c r="C35" s="228" t="s">
        <v>382</v>
      </c>
      <c r="D35" s="9"/>
      <c r="E35" s="9"/>
      <c r="F35" s="132" t="e">
        <f>+CALCULS_ACTUAL!D246</f>
        <v>#DIV/0!</v>
      </c>
      <c r="G35" s="52" t="e">
        <f>+F35/$D$14</f>
        <v>#DIV/0!</v>
      </c>
      <c r="H35" s="231" t="e">
        <f>+CALCULS_ACTUAL!D247</f>
        <v>#DIV/0!</v>
      </c>
      <c r="I35" s="175" t="e">
        <f>+CALCULS_ACTUAL!D248</f>
        <v>#DIV/0!</v>
      </c>
      <c r="J35" s="247">
        <f>+CALCULS_ACTUAL!D249</f>
        <v>0</v>
      </c>
      <c r="K35" s="251">
        <f>+CALCULS_ACTUAL!D250/12</f>
        <v>0</v>
      </c>
      <c r="T35" s="46"/>
      <c r="U35" s="46"/>
      <c r="V35" s="46"/>
      <c r="W35" s="46"/>
      <c r="X35" s="46"/>
      <c r="Y35" s="46"/>
      <c r="Z35" s="46"/>
      <c r="AA35" s="46"/>
      <c r="AB35" s="46"/>
    </row>
    <row r="36" spans="2:28">
      <c r="B36" s="225"/>
      <c r="C36" s="138" t="s">
        <v>94</v>
      </c>
      <c r="D36" s="138"/>
      <c r="E36" s="138"/>
      <c r="F36" s="174" t="e">
        <f>SUM(F30:F35)</f>
        <v>#DIV/0!</v>
      </c>
      <c r="G36" s="139" t="e">
        <f>+F36/$D$14</f>
        <v>#DIV/0!</v>
      </c>
      <c r="H36" s="226" t="e">
        <f t="shared" ref="H36:I36" si="1">SUM(H30:H35)</f>
        <v>#DIV/0!</v>
      </c>
      <c r="I36" s="177" t="e">
        <f t="shared" si="1"/>
        <v>#N/A</v>
      </c>
      <c r="J36" s="226">
        <f>SUM(J30:J35)</f>
        <v>0</v>
      </c>
      <c r="K36" s="250" t="e">
        <f>+J36/H36</f>
        <v>#DIV/0!</v>
      </c>
      <c r="T36" s="46"/>
      <c r="U36" s="46"/>
      <c r="V36" s="46"/>
      <c r="W36" s="46"/>
      <c r="X36" s="46"/>
      <c r="Y36" s="46"/>
      <c r="Z36" s="46"/>
      <c r="AA36" s="46"/>
      <c r="AB36" s="46"/>
    </row>
    <row r="37" spans="2:28">
      <c r="C37" s="515" t="s">
        <v>389</v>
      </c>
      <c r="D37" s="515"/>
      <c r="E37" s="515"/>
      <c r="F37" s="515"/>
      <c r="G37" s="515"/>
      <c r="H37" s="515"/>
      <c r="I37" s="515"/>
      <c r="J37" s="515"/>
      <c r="K37" s="515"/>
      <c r="T37" s="46"/>
      <c r="U37" s="46"/>
      <c r="V37" s="46"/>
      <c r="W37" s="46"/>
      <c r="X37" s="46"/>
      <c r="Y37" s="46"/>
      <c r="Z37" s="46"/>
      <c r="AA37" s="46"/>
      <c r="AB37" s="46"/>
    </row>
    <row r="38" spans="2:28">
      <c r="C38" s="515"/>
      <c r="D38" s="515"/>
      <c r="E38" s="515"/>
      <c r="F38" s="515"/>
      <c r="G38" s="515"/>
      <c r="H38" s="515"/>
      <c r="I38" s="515"/>
      <c r="J38" s="515"/>
      <c r="K38" s="515"/>
      <c r="T38" s="46"/>
      <c r="U38" s="46"/>
      <c r="V38" s="46"/>
      <c r="W38" s="46"/>
      <c r="X38" s="46"/>
      <c r="Y38" s="46"/>
      <c r="Z38" s="46"/>
      <c r="AA38" s="46"/>
      <c r="AB38" s="46"/>
    </row>
    <row r="39" spans="2:28">
      <c r="C39" s="515"/>
      <c r="D39" s="515"/>
      <c r="E39" s="515"/>
      <c r="F39" s="515"/>
      <c r="G39" s="515"/>
      <c r="H39" s="515"/>
      <c r="I39" s="515"/>
      <c r="J39" s="515"/>
      <c r="K39" s="515"/>
      <c r="T39" s="46"/>
      <c r="U39" s="46"/>
      <c r="V39" s="46"/>
      <c r="W39" s="46"/>
      <c r="X39" s="46"/>
      <c r="Y39" s="46"/>
      <c r="Z39" s="46"/>
      <c r="AA39" s="46"/>
      <c r="AB39" s="46"/>
    </row>
    <row r="40" spans="2:28">
      <c r="T40" s="46"/>
      <c r="U40" s="46"/>
      <c r="V40" s="46"/>
      <c r="W40" s="46"/>
      <c r="X40" s="46"/>
      <c r="Y40" s="46"/>
      <c r="Z40" s="46"/>
      <c r="AA40" s="46"/>
      <c r="AB40" s="46"/>
    </row>
    <row r="41" spans="2:28">
      <c r="B41" s="134" t="s">
        <v>299</v>
      </c>
      <c r="C41" s="53"/>
      <c r="D41" s="54" t="e">
        <f>+D14-F36</f>
        <v>#DIV/0!</v>
      </c>
      <c r="E41" s="135" t="s">
        <v>32</v>
      </c>
      <c r="T41" s="46"/>
      <c r="U41" s="46"/>
      <c r="V41" s="46"/>
      <c r="W41" s="46"/>
      <c r="X41" s="46"/>
      <c r="Y41" s="46"/>
      <c r="Z41" s="46"/>
      <c r="AA41" s="46"/>
      <c r="AB41" s="46"/>
    </row>
    <row r="42" spans="2:28">
      <c r="B42" s="134" t="s">
        <v>154</v>
      </c>
      <c r="C42" s="53"/>
      <c r="D42" s="54" t="e">
        <f>+D15-H36</f>
        <v>#DIV/0!</v>
      </c>
      <c r="E42" s="135" t="s">
        <v>43</v>
      </c>
      <c r="T42" s="46"/>
      <c r="U42" s="46"/>
      <c r="V42" s="46"/>
      <c r="W42" s="46"/>
      <c r="X42" s="46"/>
      <c r="Y42" s="46"/>
      <c r="Z42" s="46"/>
      <c r="AA42" s="46"/>
      <c r="AB42" s="46"/>
    </row>
    <row r="43" spans="2:28">
      <c r="B43" s="134" t="s">
        <v>153</v>
      </c>
      <c r="C43" s="53"/>
      <c r="D43" s="54" t="e">
        <f>+D16-I36</f>
        <v>#DIV/0!</v>
      </c>
      <c r="E43" s="135" t="s">
        <v>65</v>
      </c>
      <c r="T43" s="46"/>
      <c r="U43" s="46"/>
      <c r="V43" s="46"/>
      <c r="W43" s="46"/>
      <c r="X43" s="46"/>
      <c r="Y43" s="46"/>
      <c r="Z43" s="46"/>
      <c r="AA43" s="46"/>
      <c r="AB43" s="46"/>
    </row>
    <row r="44" spans="2:28">
      <c r="B44" s="8" t="s">
        <v>965</v>
      </c>
      <c r="C44" s="9"/>
      <c r="D44" s="51">
        <f>+CALCULS_ACTUAL!D20*CALCULS_ACTUAL!D25*(1-CALCULS_ACTUAL!D127)/1000</f>
        <v>0</v>
      </c>
      <c r="E44" s="10" t="s">
        <v>967</v>
      </c>
      <c r="T44" s="46"/>
      <c r="U44" s="46"/>
      <c r="V44" s="46"/>
      <c r="W44" s="46"/>
      <c r="X44" s="46"/>
      <c r="Y44" s="46"/>
      <c r="Z44" s="46"/>
      <c r="AA44" s="46"/>
      <c r="AB44" s="46"/>
    </row>
    <row r="45" spans="2:28">
      <c r="B45" s="8" t="s">
        <v>963</v>
      </c>
      <c r="C45" s="9"/>
      <c r="D45" s="370" t="e">
        <f>+D42/D44</f>
        <v>#DIV/0!</v>
      </c>
      <c r="E45" s="10" t="s">
        <v>957</v>
      </c>
      <c r="T45" s="46"/>
      <c r="U45" s="46"/>
      <c r="V45" s="46"/>
      <c r="W45" s="46"/>
      <c r="X45" s="46"/>
      <c r="Y45" s="46"/>
      <c r="Z45" s="46"/>
      <c r="AA45" s="46"/>
      <c r="AB45" s="46"/>
    </row>
    <row r="46" spans="2:28">
      <c r="B46" s="8" t="s">
        <v>361</v>
      </c>
      <c r="C46" s="9"/>
      <c r="D46" s="178" t="e">
        <f>+D42/365</f>
        <v>#DIV/0!</v>
      </c>
      <c r="E46" s="10" t="s">
        <v>360</v>
      </c>
      <c r="T46" s="46"/>
      <c r="U46" s="46"/>
      <c r="V46" s="46"/>
      <c r="W46" s="46"/>
      <c r="X46" s="46"/>
      <c r="Y46" s="46"/>
      <c r="Z46" s="46"/>
      <c r="AA46" s="46"/>
      <c r="AB46" s="46"/>
    </row>
    <row r="47" spans="2:28">
      <c r="B47" s="8" t="s">
        <v>968</v>
      </c>
      <c r="C47" s="9"/>
      <c r="D47" s="52" t="e">
        <f>+(D10+D11-F30-F32-F33-F34-F35)/D41</f>
        <v>#DIV/0!</v>
      </c>
      <c r="E47" s="10"/>
      <c r="T47" s="46"/>
      <c r="U47" s="46"/>
      <c r="V47" s="46"/>
      <c r="W47" s="46"/>
      <c r="X47" s="46"/>
      <c r="Y47" s="46"/>
      <c r="Z47" s="46"/>
      <c r="AA47" s="46"/>
      <c r="AB47" s="46"/>
    </row>
    <row r="48" spans="2:28">
      <c r="B48" s="8" t="s">
        <v>969</v>
      </c>
      <c r="C48" s="9"/>
      <c r="D48" s="56" t="e">
        <f>+D41/(D9-F31)</f>
        <v>#DIV/0!</v>
      </c>
      <c r="E48" s="10"/>
      <c r="T48" s="46"/>
      <c r="U48" s="46"/>
      <c r="V48" s="46"/>
      <c r="W48" s="46"/>
      <c r="X48" s="46"/>
      <c r="Y48" s="46"/>
      <c r="Z48" s="46"/>
      <c r="AA48" s="46"/>
      <c r="AB48" s="46"/>
    </row>
    <row r="49" spans="2:28">
      <c r="T49" s="46"/>
      <c r="U49" s="46"/>
      <c r="V49" s="46"/>
      <c r="W49" s="46"/>
      <c r="X49" s="46"/>
      <c r="Y49" s="46"/>
      <c r="Z49" s="46"/>
      <c r="AA49" s="46"/>
      <c r="AB49" s="46"/>
    </row>
    <row r="50" spans="2:28" ht="15.6">
      <c r="B50" s="55" t="s">
        <v>440</v>
      </c>
      <c r="C50" s="1"/>
      <c r="D50" s="1"/>
      <c r="E50" s="1"/>
      <c r="F50" s="1"/>
      <c r="G50" s="1"/>
      <c r="H50" s="1"/>
      <c r="I50" s="1"/>
      <c r="J50" s="1"/>
      <c r="K50" s="1"/>
      <c r="L50" s="1"/>
      <c r="M50" s="1"/>
      <c r="N50" s="1"/>
      <c r="O50" s="1"/>
      <c r="P50" s="1"/>
      <c r="Q50" s="1"/>
      <c r="R50" s="1"/>
      <c r="S50" s="1"/>
      <c r="T50" s="46"/>
      <c r="U50" s="46"/>
      <c r="V50" s="46"/>
      <c r="W50" s="46"/>
      <c r="X50" s="46"/>
      <c r="Y50" s="46"/>
      <c r="Z50" s="46"/>
      <c r="AA50" s="46"/>
      <c r="AB50" s="46"/>
    </row>
    <row r="51" spans="2:28" ht="15.6">
      <c r="B51" s="245"/>
      <c r="C51" s="2"/>
      <c r="D51" s="2"/>
      <c r="E51" s="2"/>
      <c r="F51" s="2"/>
      <c r="G51" s="2"/>
      <c r="H51" s="2"/>
      <c r="I51" s="2"/>
      <c r="J51" s="2"/>
      <c r="K51" s="2"/>
      <c r="L51" s="2"/>
      <c r="M51" s="2"/>
      <c r="N51" s="2"/>
      <c r="O51" s="2"/>
      <c r="P51" s="2"/>
      <c r="Q51" s="2"/>
      <c r="R51" s="2"/>
      <c r="S51" s="2"/>
      <c r="T51" s="46"/>
      <c r="U51" s="46"/>
      <c r="V51" s="46"/>
      <c r="W51" s="46"/>
      <c r="X51" s="46"/>
      <c r="Y51" s="46"/>
      <c r="Z51" s="46"/>
      <c r="AA51" s="46"/>
      <c r="AB51" s="46"/>
    </row>
    <row r="52" spans="2:28" ht="18">
      <c r="B52" s="140"/>
      <c r="E52" s="542" t="s">
        <v>413</v>
      </c>
      <c r="F52" s="543"/>
      <c r="G52" s="542" t="s">
        <v>414</v>
      </c>
      <c r="H52" s="544"/>
      <c r="I52" s="543"/>
      <c r="N52" s="17" t="s">
        <v>959</v>
      </c>
      <c r="O52" s="542" t="s">
        <v>414</v>
      </c>
      <c r="P52" s="544"/>
      <c r="Q52" s="543"/>
      <c r="T52" s="46"/>
      <c r="U52" s="46"/>
      <c r="V52" s="46"/>
      <c r="W52" s="46"/>
      <c r="X52" s="46"/>
      <c r="Y52" s="46"/>
      <c r="Z52" s="46"/>
      <c r="AA52" s="46"/>
      <c r="AB52" s="46"/>
    </row>
    <row r="53" spans="2:28" ht="40.799999999999997" customHeight="1">
      <c r="D53" s="11"/>
      <c r="E53" s="15">
        <f>+DADES_ACTUAL!D6</f>
        <v>0</v>
      </c>
      <c r="F53" s="15" t="str">
        <f>_xlfn.CONCAT(E53," Millorat")</f>
        <v>0 Millorat</v>
      </c>
      <c r="G53" s="15">
        <f>+CALCUL_ALTER!D4</f>
        <v>0</v>
      </c>
      <c r="H53" s="15">
        <f>+CALCUL_ALTER!W4</f>
        <v>0</v>
      </c>
      <c r="I53" s="15">
        <f>+CALCUL_ALTER!AP4</f>
        <v>0</v>
      </c>
      <c r="L53" s="8"/>
      <c r="M53" s="10"/>
      <c r="N53" s="15">
        <f>+E53</f>
        <v>0</v>
      </c>
      <c r="O53" s="15">
        <f>+G53</f>
        <v>0</v>
      </c>
      <c r="P53" s="15">
        <f>+H53</f>
        <v>0</v>
      </c>
      <c r="Q53" s="15">
        <f>+I53</f>
        <v>0</v>
      </c>
      <c r="T53" s="46"/>
      <c r="U53" s="46"/>
      <c r="V53" s="46"/>
      <c r="W53" s="46"/>
      <c r="X53" s="46"/>
      <c r="Y53" s="46"/>
      <c r="Z53" s="46"/>
      <c r="AA53" s="46"/>
      <c r="AB53" s="46"/>
    </row>
    <row r="54" spans="2:28">
      <c r="B54" s="134" t="s">
        <v>955</v>
      </c>
      <c r="C54" s="53"/>
      <c r="D54" s="24" t="s">
        <v>32</v>
      </c>
      <c r="E54" s="222" t="e">
        <f>+D14</f>
        <v>#DIV/0!</v>
      </c>
      <c r="F54" s="222" t="e">
        <f>+D41</f>
        <v>#DIV/0!</v>
      </c>
      <c r="G54" s="222" t="e">
        <f>+CALCUL_ALTER!K11</f>
        <v>#DIV/0!</v>
      </c>
      <c r="H54" s="222" t="e">
        <f>+CALCUL_ALTER!AD11</f>
        <v>#DIV/0!</v>
      </c>
      <c r="I54" s="222" t="e">
        <f>+CALCUL_ALTER!AW11</f>
        <v>#DIV/0!</v>
      </c>
      <c r="L54" s="360" t="s">
        <v>952</v>
      </c>
      <c r="M54" s="364"/>
      <c r="N54" s="364"/>
      <c r="O54" s="364"/>
      <c r="P54" s="364"/>
      <c r="Q54" s="361"/>
      <c r="T54" s="46"/>
      <c r="U54" s="46"/>
      <c r="V54" s="46"/>
      <c r="W54" s="46"/>
      <c r="X54" s="46"/>
      <c r="Y54" s="46"/>
      <c r="Z54" s="46"/>
      <c r="AA54" s="46"/>
      <c r="AB54" s="46"/>
    </row>
    <row r="55" spans="2:28">
      <c r="B55" s="134"/>
      <c r="C55" s="53"/>
      <c r="D55" s="24"/>
      <c r="E55" s="224" t="e">
        <f>+E54/$E$54</f>
        <v>#DIV/0!</v>
      </c>
      <c r="F55" s="224" t="e">
        <f t="shared" ref="F55:I55" si="2">+F54/$E$54</f>
        <v>#DIV/0!</v>
      </c>
      <c r="G55" s="224" t="e">
        <f t="shared" si="2"/>
        <v>#DIV/0!</v>
      </c>
      <c r="H55" s="224" t="e">
        <f t="shared" si="2"/>
        <v>#DIV/0!</v>
      </c>
      <c r="I55" s="224" t="e">
        <f t="shared" si="2"/>
        <v>#DIV/0!</v>
      </c>
      <c r="L55" s="232" t="s">
        <v>92</v>
      </c>
      <c r="M55" s="10"/>
      <c r="N55" s="195" t="e">
        <f>+D9</f>
        <v>#DIV/0!</v>
      </c>
      <c r="O55" s="195" t="e">
        <f>+CALCUL_ALTER!M6</f>
        <v>#DIV/0!</v>
      </c>
      <c r="P55" s="195" t="e">
        <f>+CALCUL_ALTER!AF6</f>
        <v>#DIV/0!</v>
      </c>
      <c r="Q55" s="195" t="e">
        <f>+CALCUL_ALTER!AY6</f>
        <v>#DIV/0!</v>
      </c>
      <c r="T55" s="46"/>
      <c r="U55" s="46"/>
      <c r="V55" s="46"/>
      <c r="W55" s="46"/>
      <c r="X55" s="46"/>
      <c r="Y55" s="46"/>
      <c r="Z55" s="46"/>
      <c r="AA55" s="46"/>
      <c r="AB55" s="46"/>
    </row>
    <row r="56" spans="2:28">
      <c r="B56" s="134" t="s">
        <v>949</v>
      </c>
      <c r="C56" s="53"/>
      <c r="D56" s="24" t="s">
        <v>37</v>
      </c>
      <c r="E56" s="222" t="e">
        <f>+D15</f>
        <v>#DIV/0!</v>
      </c>
      <c r="F56" s="222" t="e">
        <f t="shared" ref="F56" si="3">+D42</f>
        <v>#DIV/0!</v>
      </c>
      <c r="G56" s="222" t="e">
        <f>+CALCUL_ALTER!K12</f>
        <v>#DIV/0!</v>
      </c>
      <c r="H56" s="222" t="e">
        <f>+CALCUL_ALTER!AD12</f>
        <v>#DIV/0!</v>
      </c>
      <c r="I56" s="222" t="e">
        <f>+CALCUL_ALTER!AW12</f>
        <v>#DIV/0!</v>
      </c>
      <c r="J56" s="39"/>
      <c r="L56" s="232" t="s">
        <v>93</v>
      </c>
      <c r="M56" s="10"/>
      <c r="N56" s="195" t="e">
        <f>+D10</f>
        <v>#DIV/0!</v>
      </c>
      <c r="O56" s="195" t="e">
        <f>+CALCUL_ALTER!M7</f>
        <v>#DIV/0!</v>
      </c>
      <c r="P56" s="195" t="e">
        <f>+CALCUL_ALTER!AF7</f>
        <v>#DIV/0!</v>
      </c>
      <c r="Q56" s="195" t="e">
        <f>+CALCUL_ALTER!AY7</f>
        <v>#DIV/0!</v>
      </c>
      <c r="T56" s="46"/>
      <c r="U56" s="46"/>
      <c r="V56" s="46"/>
      <c r="W56" s="46"/>
      <c r="X56" s="46"/>
      <c r="Y56" s="46"/>
      <c r="Z56" s="46"/>
      <c r="AA56" s="46"/>
      <c r="AB56" s="46"/>
    </row>
    <row r="57" spans="2:28">
      <c r="B57" s="134"/>
      <c r="C57" s="53"/>
      <c r="D57" s="24"/>
      <c r="E57" s="224" t="e">
        <f>+E56/$E$56</f>
        <v>#DIV/0!</v>
      </c>
      <c r="F57" s="224" t="e">
        <f t="shared" ref="F57:I57" si="4">+F56/$E$56</f>
        <v>#DIV/0!</v>
      </c>
      <c r="G57" s="224" t="e">
        <f t="shared" si="4"/>
        <v>#DIV/0!</v>
      </c>
      <c r="H57" s="224" t="e">
        <f t="shared" si="4"/>
        <v>#DIV/0!</v>
      </c>
      <c r="I57" s="224" t="e">
        <f t="shared" si="4"/>
        <v>#DIV/0!</v>
      </c>
      <c r="L57" s="232" t="s">
        <v>310</v>
      </c>
      <c r="M57" s="10"/>
      <c r="N57" s="195" t="e">
        <f>+D11</f>
        <v>#DIV/0!</v>
      </c>
      <c r="O57" s="195" t="e">
        <f>+CALCUL_ALTER!M8</f>
        <v>#DIV/0!</v>
      </c>
      <c r="P57" s="195" t="e">
        <f>+CALCUL_ALTER!AF8</f>
        <v>#DIV/0!</v>
      </c>
      <c r="Q57" s="195" t="e">
        <f>+CALCUL_ALTER!AY8</f>
        <v>#DIV/0!</v>
      </c>
      <c r="T57" s="46"/>
      <c r="U57" s="46"/>
      <c r="V57" s="46"/>
      <c r="W57" s="46"/>
      <c r="X57" s="46"/>
      <c r="Y57" s="46"/>
      <c r="Z57" s="46"/>
      <c r="AA57" s="46"/>
      <c r="AB57" s="46"/>
    </row>
    <row r="58" spans="2:28">
      <c r="B58" s="134" t="s">
        <v>153</v>
      </c>
      <c r="C58" s="53"/>
      <c r="D58" s="24" t="s">
        <v>65</v>
      </c>
      <c r="E58" s="222" t="e">
        <f>+D16</f>
        <v>#DIV/0!</v>
      </c>
      <c r="F58" s="222" t="e">
        <f>+D43</f>
        <v>#DIV/0!</v>
      </c>
      <c r="G58" s="222" t="e">
        <f>+CALCUL_ALTER!K13</f>
        <v>#N/A</v>
      </c>
      <c r="H58" s="222" t="e">
        <f>+CALCUL_ALTER!AD13</f>
        <v>#N/A</v>
      </c>
      <c r="I58" s="222" t="e">
        <f>+CALCUL_ALTER!AW13</f>
        <v>#N/A</v>
      </c>
      <c r="L58" s="232" t="s">
        <v>94</v>
      </c>
      <c r="M58" s="10"/>
      <c r="N58" s="195" t="e">
        <f>SUM(N55:N57)</f>
        <v>#DIV/0!</v>
      </c>
      <c r="O58" s="195" t="e">
        <f t="shared" ref="O58:Q58" si="5">SUM(O55:O57)</f>
        <v>#DIV/0!</v>
      </c>
      <c r="P58" s="195" t="e">
        <f t="shared" si="5"/>
        <v>#DIV/0!</v>
      </c>
      <c r="Q58" s="195" t="e">
        <f t="shared" si="5"/>
        <v>#DIV/0!</v>
      </c>
      <c r="T58" s="46"/>
      <c r="U58" s="46"/>
      <c r="V58" s="46"/>
      <c r="W58" s="46"/>
      <c r="X58" s="46"/>
      <c r="Y58" s="46"/>
      <c r="Z58" s="46"/>
      <c r="AA58" s="46"/>
      <c r="AB58" s="46"/>
    </row>
    <row r="59" spans="2:28">
      <c r="B59" s="134"/>
      <c r="C59" s="53"/>
      <c r="D59" s="24"/>
      <c r="E59" s="224" t="e">
        <f>+E58/$E$58</f>
        <v>#DIV/0!</v>
      </c>
      <c r="F59" s="224" t="e">
        <f t="shared" ref="F59:I59" si="6">+F58/$E$58</f>
        <v>#DIV/0!</v>
      </c>
      <c r="G59" s="224" t="e">
        <f t="shared" si="6"/>
        <v>#N/A</v>
      </c>
      <c r="H59" s="224" t="e">
        <f t="shared" si="6"/>
        <v>#N/A</v>
      </c>
      <c r="I59" s="224" t="e">
        <f t="shared" si="6"/>
        <v>#N/A</v>
      </c>
      <c r="L59" s="360" t="s">
        <v>962</v>
      </c>
      <c r="M59" s="364"/>
      <c r="N59" s="364"/>
      <c r="O59" s="364"/>
      <c r="P59" s="364"/>
      <c r="Q59" s="361"/>
      <c r="T59" s="46"/>
      <c r="U59" s="46"/>
      <c r="V59" s="46"/>
      <c r="W59" s="46"/>
      <c r="X59" s="46"/>
      <c r="Y59" s="46"/>
      <c r="Z59" s="46"/>
      <c r="AA59" s="46"/>
      <c r="AB59" s="46"/>
    </row>
    <row r="60" spans="2:28">
      <c r="B60" s="8" t="s">
        <v>970</v>
      </c>
      <c r="C60" s="9"/>
      <c r="D60" s="11" t="s">
        <v>966</v>
      </c>
      <c r="E60" s="195">
        <f>+D17</f>
        <v>0</v>
      </c>
      <c r="F60" s="195">
        <f>+D44</f>
        <v>0</v>
      </c>
      <c r="G60" s="195">
        <f>+CALCUL_ALTER!K14</f>
        <v>0</v>
      </c>
      <c r="H60" s="195">
        <f>+CALCUL_ALTER!AD14</f>
        <v>0</v>
      </c>
      <c r="I60" s="195">
        <f>+CALCUL_ALTER!AW14</f>
        <v>0</v>
      </c>
      <c r="L60" s="362" t="s">
        <v>953</v>
      </c>
      <c r="M60" s="363"/>
      <c r="N60" s="381" t="e">
        <f>+CALCULS_ACTUAL!G110</f>
        <v>#DIV/0!</v>
      </c>
      <c r="O60" s="381" t="e">
        <f>+CALCUL_ALTER!G109</f>
        <v>#DIV/0!</v>
      </c>
      <c r="P60" s="381" t="e">
        <f>+CALCUL_ALTER!Z109</f>
        <v>#DIV/0!</v>
      </c>
      <c r="Q60" s="381" t="e">
        <f>+CALCUL_ALTER!AS109</f>
        <v>#DIV/0!</v>
      </c>
      <c r="T60" s="46"/>
      <c r="U60" s="46"/>
      <c r="V60" s="46"/>
      <c r="W60" s="46"/>
      <c r="X60" s="46"/>
      <c r="Y60" s="46"/>
      <c r="Z60" s="46"/>
      <c r="AA60" s="46"/>
      <c r="AB60" s="46"/>
    </row>
    <row r="61" spans="2:28">
      <c r="B61" s="134" t="s">
        <v>963</v>
      </c>
      <c r="C61" s="53"/>
      <c r="D61" s="24" t="s">
        <v>957</v>
      </c>
      <c r="E61" s="371" t="e">
        <f>+D18</f>
        <v>#DIV/0!</v>
      </c>
      <c r="F61" s="371" t="e">
        <f>+D45</f>
        <v>#DIV/0!</v>
      </c>
      <c r="G61" s="371" t="e">
        <f>+CALCUL_ALTER!K15</f>
        <v>#DIV/0!</v>
      </c>
      <c r="H61" s="371" t="e">
        <f>+CALCUL_ALTER!AD15</f>
        <v>#DIV/0!</v>
      </c>
      <c r="I61" s="371" t="e">
        <f>+CALCUL_ALTER!AW15</f>
        <v>#DIV/0!</v>
      </c>
      <c r="L61" s="232" t="s">
        <v>951</v>
      </c>
      <c r="M61" s="10"/>
      <c r="N61" s="381" t="e">
        <f>+CALCULS_ACTUAL!G111</f>
        <v>#DIV/0!</v>
      </c>
      <c r="O61" s="381" t="e">
        <f>+CALCUL_ALTER!G110</f>
        <v>#DIV/0!</v>
      </c>
      <c r="P61" s="381" t="e">
        <f>+CALCUL_ALTER!Z110</f>
        <v>#DIV/0!</v>
      </c>
      <c r="Q61" s="381" t="e">
        <f>+CALCUL_ALTER!AS110</f>
        <v>#DIV/0!</v>
      </c>
      <c r="T61" s="46"/>
      <c r="U61" s="46"/>
      <c r="V61" s="46"/>
      <c r="W61" s="46"/>
      <c r="X61" s="46"/>
      <c r="Y61" s="46"/>
      <c r="Z61" s="46"/>
      <c r="AA61" s="46"/>
      <c r="AB61" s="46"/>
    </row>
    <row r="62" spans="2:28">
      <c r="B62" s="8" t="s">
        <v>971</v>
      </c>
      <c r="C62" s="9"/>
      <c r="D62" s="11" t="s">
        <v>360</v>
      </c>
      <c r="E62" s="223" t="e">
        <f>+D19</f>
        <v>#DIV/0!</v>
      </c>
      <c r="F62" s="223" t="e">
        <f>+D46</f>
        <v>#DIV/0!</v>
      </c>
      <c r="G62" s="223" t="e">
        <f>+CALCUL_ALTER!K16</f>
        <v>#DIV/0!</v>
      </c>
      <c r="H62" s="223" t="e">
        <f>+CALCUL_ALTER!AD16</f>
        <v>#DIV/0!</v>
      </c>
      <c r="I62" s="223" t="e">
        <f>+CALCUL_ALTER!AW16</f>
        <v>#DIV/0!</v>
      </c>
      <c r="L62" s="232" t="s">
        <v>954</v>
      </c>
      <c r="M62" s="10"/>
      <c r="N62" s="381" t="e">
        <f>+CALCULS_ACTUAL!G112</f>
        <v>#DIV/0!</v>
      </c>
      <c r="O62" s="381" t="e">
        <f>+CALCUL_ALTER!G111</f>
        <v>#DIV/0!</v>
      </c>
      <c r="P62" s="381" t="e">
        <f>+CALCUL_ALTER!Z111</f>
        <v>#DIV/0!</v>
      </c>
      <c r="Q62" s="381" t="e">
        <f>+CALCUL_ALTER!AS111</f>
        <v>#DIV/0!</v>
      </c>
      <c r="T62" s="46"/>
      <c r="U62" s="46"/>
      <c r="V62" s="46"/>
      <c r="W62" s="46"/>
      <c r="X62" s="46"/>
      <c r="Y62" s="46"/>
      <c r="Z62" s="46"/>
      <c r="AA62" s="46"/>
      <c r="AB62" s="46"/>
    </row>
    <row r="63" spans="2:28">
      <c r="B63" s="8" t="s">
        <v>968</v>
      </c>
      <c r="C63" s="9"/>
      <c r="D63" s="11"/>
      <c r="E63" s="224" t="e">
        <f>+D20</f>
        <v>#DIV/0!</v>
      </c>
      <c r="F63" s="224" t="e">
        <f>+D47</f>
        <v>#DIV/0!</v>
      </c>
      <c r="G63" s="224" t="e">
        <f>+CALCUL_ALTER!K17</f>
        <v>#DIV/0!</v>
      </c>
      <c r="H63" s="224" t="e">
        <f>+CALCUL_ALTER!AD17</f>
        <v>#DIV/0!</v>
      </c>
      <c r="I63" s="224" t="e">
        <f>+CALCUL_ALTER!AW17</f>
        <v>#DIV/0!</v>
      </c>
      <c r="L63" s="232" t="s">
        <v>94</v>
      </c>
      <c r="M63" s="10"/>
      <c r="N63" s="381" t="e">
        <f>SUM(N60:N62)</f>
        <v>#DIV/0!</v>
      </c>
      <c r="O63" s="381" t="e">
        <f>SUM(O60:O62)</f>
        <v>#DIV/0!</v>
      </c>
      <c r="P63" s="381" t="e">
        <f>SUM(P60:P62)</f>
        <v>#DIV/0!</v>
      </c>
      <c r="Q63" s="381" t="e">
        <f>SUM(Q60:Q62)</f>
        <v>#DIV/0!</v>
      </c>
      <c r="T63" s="46"/>
      <c r="U63" s="46"/>
      <c r="V63" s="46"/>
      <c r="W63" s="46"/>
      <c r="X63" s="46"/>
      <c r="Y63" s="46"/>
      <c r="Z63" s="46"/>
      <c r="AA63" s="46"/>
      <c r="AB63" s="46"/>
    </row>
    <row r="64" spans="2:28">
      <c r="B64" s="8" t="s">
        <v>969</v>
      </c>
      <c r="C64" s="9"/>
      <c r="D64" s="11" t="s">
        <v>443</v>
      </c>
      <c r="E64" s="192" t="e">
        <f>+D21</f>
        <v>#DIV/0!</v>
      </c>
      <c r="F64" s="192" t="e">
        <f>+D48</f>
        <v>#DIV/0!</v>
      </c>
      <c r="G64" s="192" t="e">
        <f>+CALCUL_ALTER!K18</f>
        <v>#DIV/0!</v>
      </c>
      <c r="H64" s="192" t="e">
        <f>+CALCUL_ALTER!AD18</f>
        <v>#DIV/0!</v>
      </c>
      <c r="I64" s="192" t="e">
        <f>+CALCUL_ALTER!AW18</f>
        <v>#DIV/0!</v>
      </c>
      <c r="T64" s="46"/>
      <c r="U64" s="46"/>
      <c r="V64" s="46"/>
      <c r="W64" s="46"/>
      <c r="X64" s="46"/>
      <c r="Y64" s="46"/>
      <c r="Z64" s="46"/>
      <c r="AA64" s="46"/>
      <c r="AB64" s="46"/>
    </row>
    <row r="65" spans="2:28">
      <c r="B65" s="8" t="s">
        <v>437</v>
      </c>
      <c r="C65" s="9"/>
      <c r="D65" s="11" t="s">
        <v>43</v>
      </c>
      <c r="E65" s="195">
        <f>+CALCULS_ACTUAL!J20</f>
        <v>0</v>
      </c>
      <c r="F65" s="195">
        <f>+CALCULS_ACTUAL!D253</f>
        <v>0</v>
      </c>
      <c r="G65" s="195">
        <f>+CALCUL_ALTER!K19</f>
        <v>0</v>
      </c>
      <c r="H65" s="195">
        <f>+CALCUL_ALTER!AD19</f>
        <v>0</v>
      </c>
      <c r="I65" s="195">
        <f>+CALCUL_ALTER!AW19</f>
        <v>0</v>
      </c>
      <c r="T65" s="46"/>
      <c r="U65" s="46"/>
      <c r="V65" s="46"/>
      <c r="W65" s="46"/>
      <c r="X65" s="46"/>
      <c r="Y65" s="46"/>
      <c r="Z65" s="46"/>
      <c r="AA65" s="46"/>
      <c r="AB65" s="46"/>
    </row>
    <row r="66" spans="2:28">
      <c r="B66" s="8" t="s">
        <v>419</v>
      </c>
      <c r="C66" s="9"/>
      <c r="D66" s="11" t="s">
        <v>37</v>
      </c>
      <c r="E66" s="195">
        <f>+CALCULS_ACTUAL!J21</f>
        <v>0</v>
      </c>
      <c r="F66" s="243" t="s">
        <v>33</v>
      </c>
      <c r="G66" s="195">
        <f>+CALCUL_ALTER!K20</f>
        <v>0</v>
      </c>
      <c r="H66" s="195">
        <f>+CALCUL_ALTER!AD20</f>
        <v>0</v>
      </c>
      <c r="I66" s="195">
        <f>+CALCUL_ALTER!AW20</f>
        <v>0</v>
      </c>
      <c r="T66" s="46"/>
      <c r="U66" s="46"/>
      <c r="V66" s="46"/>
      <c r="W66" s="46"/>
      <c r="X66" s="46"/>
      <c r="Y66" s="46"/>
      <c r="Z66" s="46"/>
      <c r="AA66" s="46"/>
      <c r="AB66" s="46"/>
    </row>
    <row r="67" spans="2:28">
      <c r="B67" s="8" t="s">
        <v>433</v>
      </c>
      <c r="C67" s="9"/>
      <c r="D67" s="11" t="s">
        <v>421</v>
      </c>
      <c r="E67" s="243" t="s">
        <v>33</v>
      </c>
      <c r="F67" s="243" t="s">
        <v>33</v>
      </c>
      <c r="G67" s="195">
        <f>+CALCUL_ALTER!K22</f>
        <v>0</v>
      </c>
      <c r="H67" s="195">
        <f>+CALCUL_ALTER!AD22</f>
        <v>0</v>
      </c>
      <c r="I67" s="195">
        <f>+CALCUL_ALTER!AW22</f>
        <v>0</v>
      </c>
      <c r="T67" s="46"/>
      <c r="U67" s="46"/>
      <c r="V67" s="46"/>
      <c r="W67" s="46"/>
      <c r="X67" s="46"/>
      <c r="Y67" s="46"/>
      <c r="Z67" s="46"/>
      <c r="AA67" s="46"/>
      <c r="AB67" s="46"/>
    </row>
    <row r="68" spans="2:28">
      <c r="B68" s="8" t="s">
        <v>434</v>
      </c>
      <c r="C68" s="9"/>
      <c r="D68" s="11" t="s">
        <v>421</v>
      </c>
      <c r="E68" s="243" t="s">
        <v>33</v>
      </c>
      <c r="F68" s="248">
        <f>+CALCULS_ACTUAL!D262</f>
        <v>0</v>
      </c>
      <c r="G68" s="195">
        <f>+CALCUL_ALTER!K23</f>
        <v>0</v>
      </c>
      <c r="H68" s="195">
        <f>+CALCUL_ALTER!AD23</f>
        <v>0</v>
      </c>
      <c r="I68" s="195">
        <f>+CALCUL_ALTER!AW23</f>
        <v>0</v>
      </c>
      <c r="T68" s="46"/>
      <c r="U68" s="46"/>
      <c r="V68" s="46"/>
      <c r="W68" s="46"/>
      <c r="X68" s="46"/>
      <c r="Y68" s="46"/>
      <c r="Z68" s="46"/>
      <c r="AA68" s="46"/>
      <c r="AB68" s="46"/>
    </row>
    <row r="69" spans="2:28">
      <c r="T69" s="46"/>
      <c r="U69" s="46"/>
      <c r="V69" s="46"/>
      <c r="W69" s="46"/>
      <c r="X69" s="46"/>
      <c r="Y69" s="46"/>
      <c r="Z69" s="46"/>
      <c r="AA69" s="46"/>
      <c r="AB69" s="46"/>
    </row>
    <row r="70" spans="2:28">
      <c r="T70" s="46"/>
      <c r="U70" s="46"/>
      <c r="V70" s="46"/>
      <c r="W70" s="46"/>
      <c r="X70" s="46"/>
      <c r="Y70" s="46"/>
      <c r="Z70" s="46"/>
      <c r="AA70" s="46"/>
      <c r="AB70" s="46"/>
    </row>
    <row r="71" spans="2:28">
      <c r="T71" s="46"/>
      <c r="U71" s="46"/>
      <c r="V71" s="46"/>
      <c r="W71" s="46"/>
      <c r="X71" s="46"/>
      <c r="Y71" s="46"/>
      <c r="Z71" s="46"/>
      <c r="AA71" s="46"/>
      <c r="AB71" s="46"/>
    </row>
    <row r="72" spans="2:28">
      <c r="T72" s="46"/>
      <c r="U72" s="46"/>
      <c r="V72" s="46"/>
      <c r="W72" s="46"/>
      <c r="X72" s="46"/>
      <c r="Y72" s="46"/>
      <c r="Z72" s="46"/>
      <c r="AA72" s="46"/>
      <c r="AB72" s="46"/>
    </row>
    <row r="73" spans="2:28">
      <c r="T73" s="46"/>
      <c r="U73" s="46"/>
      <c r="V73" s="46"/>
      <c r="W73" s="46"/>
      <c r="X73" s="46"/>
      <c r="Y73" s="46"/>
      <c r="Z73" s="46"/>
      <c r="AA73" s="46"/>
      <c r="AB73" s="46"/>
    </row>
    <row r="74" spans="2:28">
      <c r="T74" s="46"/>
      <c r="U74" s="46"/>
      <c r="V74" s="46"/>
      <c r="W74" s="46"/>
      <c r="X74" s="46"/>
      <c r="Y74" s="46"/>
      <c r="Z74" s="46"/>
      <c r="AA74" s="46"/>
      <c r="AB74" s="46"/>
    </row>
    <row r="75" spans="2:28">
      <c r="T75" s="46"/>
      <c r="U75" s="46"/>
      <c r="V75" s="46"/>
      <c r="W75" s="46"/>
      <c r="X75" s="46"/>
      <c r="Y75" s="46"/>
      <c r="Z75" s="46"/>
      <c r="AA75" s="46"/>
      <c r="AB75" s="46"/>
    </row>
    <row r="76" spans="2:28">
      <c r="T76" s="46"/>
      <c r="U76" s="46"/>
      <c r="V76" s="46"/>
      <c r="W76" s="46"/>
      <c r="X76" s="46"/>
      <c r="Y76" s="46"/>
      <c r="Z76" s="46"/>
      <c r="AA76" s="46"/>
      <c r="AB76" s="46"/>
    </row>
    <row r="77" spans="2:28">
      <c r="T77" s="46"/>
      <c r="U77" s="46"/>
      <c r="V77" s="46"/>
      <c r="W77" s="46"/>
      <c r="X77" s="46"/>
      <c r="Y77" s="46"/>
      <c r="Z77" s="46"/>
      <c r="AA77" s="46"/>
      <c r="AB77" s="46"/>
    </row>
    <row r="78" spans="2:28">
      <c r="T78" s="46"/>
      <c r="U78" s="46"/>
      <c r="V78" s="46"/>
      <c r="W78" s="46"/>
      <c r="X78" s="46"/>
      <c r="Y78" s="46"/>
      <c r="Z78" s="46"/>
      <c r="AA78" s="46"/>
      <c r="AB78" s="46"/>
    </row>
    <row r="79" spans="2:28">
      <c r="T79" s="46"/>
      <c r="U79" s="46"/>
      <c r="V79" s="46"/>
      <c r="W79" s="46"/>
      <c r="X79" s="46"/>
      <c r="Y79" s="46"/>
      <c r="Z79" s="46"/>
      <c r="AA79" s="46"/>
      <c r="AB79" s="46"/>
    </row>
    <row r="80" spans="2:28">
      <c r="T80" s="46"/>
      <c r="U80" s="46"/>
      <c r="V80" s="46"/>
      <c r="W80" s="46"/>
      <c r="X80" s="46"/>
      <c r="Y80" s="46"/>
      <c r="Z80" s="46"/>
      <c r="AA80" s="46"/>
      <c r="AB80" s="46"/>
    </row>
    <row r="81" spans="20:28">
      <c r="T81" s="46"/>
      <c r="U81" s="46"/>
      <c r="V81" s="46"/>
      <c r="W81" s="46"/>
      <c r="X81" s="46"/>
      <c r="Y81" s="46"/>
      <c r="Z81" s="46"/>
      <c r="AA81" s="46"/>
      <c r="AB81" s="46"/>
    </row>
    <row r="82" spans="20:28">
      <c r="T82" s="46"/>
      <c r="U82" s="46"/>
      <c r="V82" s="46"/>
      <c r="W82" s="46"/>
      <c r="X82" s="46"/>
      <c r="Y82" s="46"/>
      <c r="Z82" s="46"/>
      <c r="AA82" s="46"/>
      <c r="AB82" s="46"/>
    </row>
    <row r="83" spans="20:28">
      <c r="T83" s="46"/>
      <c r="U83" s="46"/>
      <c r="V83" s="46"/>
      <c r="W83" s="46"/>
      <c r="X83" s="46"/>
      <c r="Y83" s="46"/>
      <c r="Z83" s="46"/>
      <c r="AA83" s="46"/>
      <c r="AB83" s="46"/>
    </row>
    <row r="84" spans="20:28">
      <c r="T84" s="46"/>
      <c r="U84" s="46"/>
      <c r="V84" s="46"/>
      <c r="W84" s="46"/>
      <c r="X84" s="46"/>
      <c r="Y84" s="46"/>
      <c r="Z84" s="46"/>
      <c r="AA84" s="46"/>
      <c r="AB84" s="46"/>
    </row>
    <row r="85" spans="20:28">
      <c r="T85" s="46"/>
      <c r="U85" s="46"/>
      <c r="V85" s="46"/>
      <c r="W85" s="46"/>
      <c r="X85" s="46"/>
      <c r="Y85" s="46"/>
      <c r="Z85" s="46"/>
      <c r="AA85" s="46"/>
      <c r="AB85" s="46"/>
    </row>
    <row r="86" spans="20:28">
      <c r="T86" s="46"/>
      <c r="U86" s="46"/>
      <c r="V86" s="46"/>
      <c r="W86" s="46"/>
      <c r="X86" s="46"/>
      <c r="Y86" s="46"/>
      <c r="Z86" s="46"/>
      <c r="AA86" s="46"/>
      <c r="AB86" s="46"/>
    </row>
    <row r="87" spans="20:28">
      <c r="T87" s="46"/>
      <c r="U87" s="46"/>
      <c r="V87" s="46"/>
      <c r="W87" s="46"/>
      <c r="X87" s="46"/>
      <c r="Y87" s="46"/>
      <c r="Z87" s="46"/>
      <c r="AA87" s="46"/>
      <c r="AB87" s="46"/>
    </row>
    <row r="88" spans="20:28">
      <c r="T88" s="46"/>
      <c r="U88" s="46"/>
      <c r="V88" s="46"/>
      <c r="W88" s="46"/>
      <c r="X88" s="46"/>
      <c r="Y88" s="46"/>
      <c r="Z88" s="46"/>
      <c r="AA88" s="46"/>
      <c r="AB88" s="46"/>
    </row>
    <row r="89" spans="20:28">
      <c r="T89" s="46"/>
      <c r="U89" s="46"/>
      <c r="V89" s="46"/>
      <c r="W89" s="46"/>
      <c r="X89" s="46"/>
      <c r="Y89" s="46"/>
      <c r="Z89" s="46"/>
      <c r="AA89" s="46"/>
      <c r="AB89" s="46"/>
    </row>
    <row r="90" spans="20:28">
      <c r="T90" s="46"/>
      <c r="U90" s="46"/>
      <c r="V90" s="46"/>
      <c r="W90" s="46"/>
      <c r="X90" s="46"/>
      <c r="Y90" s="46"/>
      <c r="Z90" s="46"/>
      <c r="AA90" s="46"/>
      <c r="AB90" s="46"/>
    </row>
    <row r="91" spans="20:28">
      <c r="T91" s="46"/>
      <c r="U91" s="46"/>
      <c r="V91" s="46"/>
      <c r="W91" s="46"/>
      <c r="X91" s="46"/>
      <c r="Y91" s="46"/>
      <c r="Z91" s="46"/>
      <c r="AA91" s="46"/>
      <c r="AB91" s="46"/>
    </row>
    <row r="92" spans="20:28">
      <c r="T92" s="46"/>
      <c r="U92" s="46"/>
      <c r="V92" s="46"/>
      <c r="W92" s="46"/>
      <c r="X92" s="46"/>
      <c r="Y92" s="46"/>
      <c r="Z92" s="46"/>
      <c r="AA92" s="46"/>
      <c r="AB92" s="46"/>
    </row>
    <row r="93" spans="20:28">
      <c r="T93" s="46"/>
      <c r="U93" s="46"/>
      <c r="V93" s="46"/>
      <c r="W93" s="46"/>
      <c r="X93" s="46"/>
      <c r="Y93" s="46"/>
      <c r="Z93" s="46"/>
      <c r="AA93" s="46"/>
      <c r="AB93" s="46"/>
    </row>
    <row r="94" spans="20:28">
      <c r="T94" s="46"/>
      <c r="U94" s="46"/>
      <c r="V94" s="46"/>
      <c r="W94" s="46"/>
      <c r="X94" s="46"/>
      <c r="Y94" s="46"/>
      <c r="Z94" s="46"/>
      <c r="AA94" s="46"/>
      <c r="AB94" s="46"/>
    </row>
    <row r="95" spans="20:28">
      <c r="T95" s="46"/>
      <c r="U95" s="46"/>
      <c r="V95" s="46"/>
      <c r="W95" s="46"/>
      <c r="X95" s="46"/>
      <c r="Y95" s="46"/>
      <c r="Z95" s="46"/>
      <c r="AA95" s="46"/>
      <c r="AB95" s="46"/>
    </row>
    <row r="96" spans="20:28">
      <c r="T96" s="46"/>
      <c r="U96" s="46"/>
      <c r="V96" s="46"/>
      <c r="W96" s="46"/>
      <c r="X96" s="46"/>
      <c r="Y96" s="46"/>
      <c r="Z96" s="46"/>
      <c r="AA96" s="46"/>
      <c r="AB96" s="46"/>
    </row>
    <row r="97" spans="20:28">
      <c r="T97" s="46"/>
      <c r="U97" s="46"/>
      <c r="V97" s="46"/>
      <c r="W97" s="46"/>
      <c r="X97" s="46"/>
      <c r="Y97" s="46"/>
      <c r="Z97" s="46"/>
      <c r="AA97" s="46"/>
      <c r="AB97" s="46"/>
    </row>
    <row r="98" spans="20:28">
      <c r="T98" s="46"/>
      <c r="U98" s="46"/>
      <c r="V98" s="46"/>
      <c r="W98" s="46"/>
      <c r="X98" s="46"/>
      <c r="Y98" s="46"/>
      <c r="Z98" s="46"/>
      <c r="AA98" s="46"/>
      <c r="AB98" s="46"/>
    </row>
    <row r="99" spans="20:28">
      <c r="T99" s="46"/>
      <c r="U99" s="46"/>
      <c r="V99" s="46"/>
      <c r="W99" s="46"/>
      <c r="X99" s="46"/>
      <c r="Y99" s="46"/>
      <c r="Z99" s="46"/>
      <c r="AA99" s="46"/>
      <c r="AB99" s="46"/>
    </row>
    <row r="100" spans="20:28">
      <c r="T100" s="46"/>
      <c r="U100" s="46"/>
      <c r="V100" s="46"/>
      <c r="W100" s="46"/>
      <c r="X100" s="46"/>
      <c r="Y100" s="46"/>
      <c r="Z100" s="46"/>
      <c r="AA100" s="46"/>
      <c r="AB100" s="46"/>
    </row>
    <row r="101" spans="20:28">
      <c r="T101" s="46"/>
      <c r="U101" s="46"/>
      <c r="V101" s="46"/>
      <c r="W101" s="46"/>
      <c r="X101" s="46"/>
      <c r="Y101" s="46"/>
      <c r="Z101" s="46"/>
      <c r="AA101" s="46"/>
      <c r="AB101" s="46"/>
    </row>
    <row r="102" spans="20:28">
      <c r="T102" s="46"/>
      <c r="U102" s="46"/>
      <c r="V102" s="46"/>
      <c r="W102" s="46"/>
      <c r="X102" s="46"/>
      <c r="Y102" s="46"/>
      <c r="Z102" s="46"/>
      <c r="AA102" s="46"/>
      <c r="AB102" s="46"/>
    </row>
    <row r="103" spans="20:28">
      <c r="T103" s="46"/>
      <c r="U103" s="46"/>
      <c r="V103" s="46"/>
      <c r="W103" s="46"/>
      <c r="X103" s="46"/>
      <c r="Y103" s="46"/>
      <c r="Z103" s="46"/>
      <c r="AA103" s="46"/>
      <c r="AB103" s="46"/>
    </row>
    <row r="104" spans="20:28">
      <c r="T104" s="46"/>
      <c r="U104" s="46"/>
      <c r="V104" s="46"/>
      <c r="W104" s="46"/>
      <c r="X104" s="46"/>
      <c r="Y104" s="46"/>
      <c r="Z104" s="46"/>
      <c r="AA104" s="46"/>
      <c r="AB104" s="46"/>
    </row>
    <row r="105" spans="20:28">
      <c r="T105" s="46"/>
      <c r="U105" s="46"/>
      <c r="V105" s="46"/>
      <c r="W105" s="46"/>
      <c r="X105" s="46"/>
      <c r="Y105" s="46"/>
      <c r="Z105" s="46"/>
      <c r="AA105" s="46"/>
      <c r="AB105" s="46"/>
    </row>
    <row r="106" spans="20:28">
      <c r="T106" s="46"/>
      <c r="U106" s="46"/>
      <c r="V106" s="46"/>
      <c r="W106" s="46"/>
      <c r="X106" s="46"/>
      <c r="Y106" s="46"/>
      <c r="Z106" s="46"/>
      <c r="AA106" s="46"/>
      <c r="AB106" s="46"/>
    </row>
    <row r="107" spans="20:28">
      <c r="T107" s="46"/>
      <c r="U107" s="46"/>
      <c r="V107" s="46"/>
      <c r="W107" s="46"/>
      <c r="X107" s="46"/>
      <c r="Y107" s="46"/>
      <c r="Z107" s="46"/>
      <c r="AA107" s="46"/>
      <c r="AB107" s="46"/>
    </row>
    <row r="108" spans="20:28">
      <c r="T108" s="46"/>
      <c r="U108" s="46"/>
      <c r="V108" s="46"/>
      <c r="W108" s="46"/>
      <c r="X108" s="46"/>
      <c r="Y108" s="46"/>
      <c r="Z108" s="46"/>
      <c r="AA108" s="46"/>
      <c r="AB108" s="46"/>
    </row>
    <row r="109" spans="20:28">
      <c r="T109" s="46"/>
      <c r="U109" s="46"/>
      <c r="V109" s="46"/>
      <c r="W109" s="46"/>
      <c r="X109" s="46"/>
      <c r="Y109" s="46"/>
      <c r="Z109" s="46"/>
      <c r="AA109" s="46"/>
      <c r="AB109" s="46"/>
    </row>
    <row r="110" spans="20:28">
      <c r="T110" s="46"/>
      <c r="U110" s="46"/>
      <c r="V110" s="46"/>
      <c r="W110" s="46"/>
      <c r="X110" s="46"/>
      <c r="Y110" s="46"/>
      <c r="Z110" s="46"/>
      <c r="AA110" s="46"/>
      <c r="AB110" s="46"/>
    </row>
    <row r="111" spans="20:28">
      <c r="T111" s="46"/>
      <c r="U111" s="46"/>
      <c r="V111" s="46"/>
      <c r="W111" s="46"/>
      <c r="X111" s="46"/>
      <c r="Y111" s="46"/>
      <c r="Z111" s="46"/>
      <c r="AA111" s="46"/>
      <c r="AB111" s="46"/>
    </row>
    <row r="112" spans="20:28">
      <c r="T112" s="46"/>
      <c r="U112" s="46"/>
      <c r="V112" s="46"/>
      <c r="W112" s="46"/>
      <c r="X112" s="46"/>
      <c r="Y112" s="46"/>
      <c r="Z112" s="46"/>
      <c r="AA112" s="46"/>
      <c r="AB112" s="46"/>
    </row>
    <row r="113" spans="20:28">
      <c r="T113" s="46"/>
      <c r="U113" s="46"/>
      <c r="V113" s="46"/>
      <c r="W113" s="46"/>
      <c r="X113" s="46"/>
      <c r="Y113" s="46"/>
      <c r="Z113" s="46"/>
      <c r="AA113" s="46"/>
      <c r="AB113" s="46"/>
    </row>
    <row r="114" spans="20:28">
      <c r="T114" s="46"/>
      <c r="U114" s="46"/>
      <c r="V114" s="46"/>
      <c r="W114" s="46"/>
      <c r="X114" s="46"/>
      <c r="Y114" s="46"/>
      <c r="Z114" s="46"/>
      <c r="AA114" s="46"/>
      <c r="AB114" s="46"/>
    </row>
    <row r="115" spans="20:28">
      <c r="T115" s="46"/>
      <c r="U115" s="46"/>
      <c r="V115" s="46"/>
      <c r="W115" s="46"/>
      <c r="X115" s="46"/>
      <c r="Y115" s="46"/>
      <c r="Z115" s="46"/>
      <c r="AA115" s="46"/>
      <c r="AB115" s="46"/>
    </row>
    <row r="116" spans="20:28">
      <c r="T116" s="46"/>
      <c r="U116" s="46"/>
      <c r="V116" s="46"/>
      <c r="W116" s="46"/>
      <c r="X116" s="46"/>
      <c r="Y116" s="46"/>
      <c r="Z116" s="46"/>
      <c r="AA116" s="46"/>
      <c r="AB116" s="46"/>
    </row>
    <row r="117" spans="20:28">
      <c r="T117" s="46"/>
      <c r="U117" s="46"/>
      <c r="V117" s="46"/>
      <c r="W117" s="46"/>
      <c r="X117" s="46"/>
      <c r="Y117" s="46"/>
      <c r="Z117" s="46"/>
      <c r="AA117" s="46"/>
      <c r="AB117" s="46"/>
    </row>
    <row r="118" spans="20:28">
      <c r="T118" s="46"/>
      <c r="U118" s="46"/>
      <c r="V118" s="46"/>
      <c r="W118" s="46"/>
      <c r="X118" s="46"/>
      <c r="Y118" s="46"/>
      <c r="Z118" s="46"/>
      <c r="AA118" s="46"/>
      <c r="AB118" s="46"/>
    </row>
    <row r="119" spans="20:28">
      <c r="T119" s="46"/>
      <c r="U119" s="46"/>
      <c r="V119" s="46"/>
      <c r="W119" s="46"/>
      <c r="X119" s="46"/>
      <c r="Y119" s="46"/>
      <c r="Z119" s="46"/>
      <c r="AA119" s="46"/>
      <c r="AB119" s="46"/>
    </row>
    <row r="120" spans="20:28">
      <c r="T120" s="46"/>
      <c r="U120" s="46"/>
      <c r="V120" s="46"/>
      <c r="W120" s="46"/>
      <c r="X120" s="46"/>
      <c r="Y120" s="46"/>
      <c r="Z120" s="46"/>
      <c r="AA120" s="46"/>
      <c r="AB120" s="46"/>
    </row>
    <row r="121" spans="20:28">
      <c r="T121" s="46"/>
      <c r="U121" s="46"/>
      <c r="V121" s="46"/>
      <c r="W121" s="46"/>
      <c r="X121" s="46"/>
      <c r="Y121" s="46"/>
      <c r="Z121" s="46"/>
      <c r="AA121" s="46"/>
      <c r="AB121" s="46"/>
    </row>
    <row r="122" spans="20:28">
      <c r="T122" s="46"/>
      <c r="U122" s="46"/>
      <c r="V122" s="46"/>
      <c r="W122" s="46"/>
      <c r="X122" s="46"/>
      <c r="Y122" s="46"/>
      <c r="Z122" s="46"/>
      <c r="AA122" s="46"/>
      <c r="AB122" s="46"/>
    </row>
    <row r="123" spans="20:28">
      <c r="T123" s="46"/>
      <c r="U123" s="46"/>
      <c r="V123" s="46"/>
      <c r="W123" s="46"/>
      <c r="X123" s="46"/>
      <c r="Y123" s="46"/>
      <c r="Z123" s="46"/>
      <c r="AA123" s="46"/>
      <c r="AB123" s="46"/>
    </row>
    <row r="124" spans="20:28">
      <c r="T124" s="46"/>
      <c r="U124" s="46"/>
      <c r="V124" s="46"/>
      <c r="W124" s="46"/>
      <c r="X124" s="46"/>
      <c r="Y124" s="46"/>
      <c r="Z124" s="46"/>
      <c r="AA124" s="46"/>
      <c r="AB124" s="46"/>
    </row>
    <row r="125" spans="20:28">
      <c r="T125" s="46"/>
      <c r="U125" s="46"/>
      <c r="V125" s="46"/>
      <c r="W125" s="46"/>
      <c r="X125" s="46"/>
      <c r="Y125" s="46"/>
      <c r="Z125" s="46"/>
      <c r="AA125" s="46"/>
      <c r="AB125" s="46"/>
    </row>
    <row r="126" spans="20:28">
      <c r="T126" s="46"/>
      <c r="U126" s="46"/>
      <c r="V126" s="46"/>
      <c r="W126" s="46"/>
      <c r="X126" s="46"/>
      <c r="Y126" s="46"/>
      <c r="Z126" s="46"/>
      <c r="AA126" s="46"/>
      <c r="AB126" s="46"/>
    </row>
    <row r="127" spans="20:28">
      <c r="T127" s="46"/>
      <c r="U127" s="46"/>
      <c r="V127" s="46"/>
      <c r="W127" s="46"/>
      <c r="X127" s="46"/>
      <c r="Y127" s="46"/>
      <c r="Z127" s="46"/>
      <c r="AA127" s="46"/>
      <c r="AB127" s="46"/>
    </row>
    <row r="128" spans="20:28">
      <c r="T128" s="46"/>
      <c r="U128" s="46"/>
      <c r="V128" s="46"/>
      <c r="W128" s="46"/>
      <c r="X128" s="46"/>
      <c r="Y128" s="46"/>
      <c r="Z128" s="46"/>
      <c r="AA128" s="46"/>
      <c r="AB128" s="46"/>
    </row>
    <row r="129" spans="20:28">
      <c r="T129" s="46"/>
      <c r="U129" s="46"/>
      <c r="V129" s="46"/>
      <c r="W129" s="46"/>
      <c r="X129" s="46"/>
      <c r="Y129" s="46"/>
      <c r="Z129" s="46"/>
      <c r="AA129" s="46"/>
      <c r="AB129" s="46"/>
    </row>
    <row r="130" spans="20:28">
      <c r="T130" s="46"/>
      <c r="U130" s="46"/>
      <c r="V130" s="46"/>
      <c r="W130" s="46"/>
      <c r="X130" s="46"/>
      <c r="Y130" s="46"/>
      <c r="Z130" s="46"/>
      <c r="AA130" s="46"/>
      <c r="AB130" s="46"/>
    </row>
    <row r="131" spans="20:28">
      <c r="T131" s="46"/>
      <c r="U131" s="46"/>
      <c r="V131" s="46"/>
      <c r="W131" s="46"/>
      <c r="X131" s="46"/>
      <c r="Y131" s="46"/>
      <c r="Z131" s="46"/>
      <c r="AA131" s="46"/>
      <c r="AB131" s="46"/>
    </row>
    <row r="132" spans="20:28">
      <c r="T132" s="46"/>
      <c r="U132" s="46"/>
      <c r="V132" s="46"/>
      <c r="W132" s="46"/>
      <c r="X132" s="46"/>
      <c r="Y132" s="46"/>
      <c r="Z132" s="46"/>
      <c r="AA132" s="46"/>
      <c r="AB132" s="46"/>
    </row>
    <row r="133" spans="20:28">
      <c r="T133" s="46"/>
      <c r="U133" s="46"/>
      <c r="V133" s="46"/>
      <c r="W133" s="46"/>
      <c r="X133" s="46"/>
      <c r="Y133" s="46"/>
      <c r="Z133" s="46"/>
      <c r="AA133" s="46"/>
      <c r="AB133" s="46"/>
    </row>
    <row r="134" spans="20:28">
      <c r="T134" s="46"/>
      <c r="U134" s="46"/>
      <c r="V134" s="46"/>
      <c r="W134" s="46"/>
      <c r="X134" s="46"/>
      <c r="Y134" s="46"/>
      <c r="Z134" s="46"/>
      <c r="AA134" s="46"/>
      <c r="AB134" s="46"/>
    </row>
    <row r="135" spans="20:28">
      <c r="T135" s="46"/>
      <c r="U135" s="46"/>
      <c r="V135" s="46"/>
      <c r="W135" s="46"/>
      <c r="X135" s="46"/>
      <c r="Y135" s="46"/>
      <c r="Z135" s="46"/>
      <c r="AA135" s="46"/>
      <c r="AB135" s="46"/>
    </row>
    <row r="136" spans="20:28">
      <c r="T136" s="46"/>
      <c r="U136" s="46"/>
      <c r="V136" s="46"/>
      <c r="W136" s="46"/>
      <c r="X136" s="46"/>
      <c r="Y136" s="46"/>
      <c r="Z136" s="46"/>
      <c r="AA136" s="46"/>
      <c r="AB136" s="46"/>
    </row>
    <row r="137" spans="20:28">
      <c r="T137" s="46"/>
      <c r="U137" s="46"/>
      <c r="V137" s="46"/>
      <c r="W137" s="46"/>
      <c r="X137" s="46"/>
      <c r="Y137" s="46"/>
      <c r="Z137" s="46"/>
      <c r="AA137" s="46"/>
      <c r="AB137" s="46"/>
    </row>
    <row r="138" spans="20:28">
      <c r="T138" s="46"/>
      <c r="U138" s="46"/>
      <c r="V138" s="46"/>
      <c r="W138" s="46"/>
      <c r="X138" s="46"/>
      <c r="Y138" s="46"/>
      <c r="Z138" s="46"/>
      <c r="AA138" s="46"/>
      <c r="AB138" s="46"/>
    </row>
    <row r="139" spans="20:28">
      <c r="T139" s="46"/>
      <c r="U139" s="46"/>
      <c r="V139" s="46"/>
      <c r="W139" s="46"/>
      <c r="X139" s="46"/>
      <c r="Y139" s="46"/>
      <c r="Z139" s="46"/>
      <c r="AA139" s="46"/>
      <c r="AB139" s="46"/>
    </row>
    <row r="140" spans="20:28">
      <c r="T140" s="46"/>
      <c r="U140" s="46"/>
      <c r="V140" s="46"/>
      <c r="W140" s="46"/>
      <c r="X140" s="46"/>
      <c r="Y140" s="46"/>
      <c r="Z140" s="46"/>
      <c r="AA140" s="46"/>
      <c r="AB140" s="46"/>
    </row>
    <row r="141" spans="20:28">
      <c r="T141" s="46"/>
      <c r="U141" s="46"/>
      <c r="V141" s="46"/>
      <c r="W141" s="46"/>
      <c r="X141" s="46"/>
      <c r="Y141" s="46"/>
      <c r="Z141" s="46"/>
      <c r="AA141" s="46"/>
      <c r="AB141" s="46"/>
    </row>
    <row r="142" spans="20:28">
      <c r="T142" s="46"/>
      <c r="U142" s="46"/>
      <c r="V142" s="46"/>
      <c r="W142" s="46"/>
      <c r="X142" s="46"/>
      <c r="Y142" s="46"/>
      <c r="Z142" s="46"/>
      <c r="AA142" s="46"/>
      <c r="AB142" s="46"/>
    </row>
    <row r="143" spans="20:28">
      <c r="T143" s="46"/>
      <c r="U143" s="46"/>
      <c r="V143" s="46"/>
      <c r="W143" s="46"/>
      <c r="X143" s="46"/>
      <c r="Y143" s="46"/>
      <c r="Z143" s="46"/>
      <c r="AA143" s="46"/>
      <c r="AB143" s="46"/>
    </row>
    <row r="144" spans="20:28">
      <c r="T144" s="46"/>
      <c r="U144" s="46"/>
      <c r="V144" s="46"/>
      <c r="W144" s="46"/>
      <c r="X144" s="46"/>
      <c r="Y144" s="46"/>
      <c r="Z144" s="46"/>
      <c r="AA144" s="46"/>
      <c r="AB144" s="46"/>
    </row>
    <row r="145" spans="20:28">
      <c r="T145" s="46"/>
      <c r="U145" s="46"/>
      <c r="V145" s="46"/>
      <c r="W145" s="46"/>
      <c r="X145" s="46"/>
      <c r="Y145" s="46"/>
      <c r="Z145" s="46"/>
      <c r="AA145" s="46"/>
      <c r="AB145" s="46"/>
    </row>
    <row r="146" spans="20:28">
      <c r="T146" s="46"/>
      <c r="U146" s="46"/>
      <c r="V146" s="46"/>
      <c r="W146" s="46"/>
      <c r="X146" s="46"/>
      <c r="Y146" s="46"/>
      <c r="Z146" s="46"/>
      <c r="AA146" s="46"/>
      <c r="AB146" s="46"/>
    </row>
    <row r="147" spans="20:28">
      <c r="T147" s="46"/>
      <c r="U147" s="46"/>
      <c r="V147" s="46"/>
      <c r="W147" s="46"/>
      <c r="X147" s="46"/>
      <c r="Y147" s="46"/>
      <c r="Z147" s="46"/>
      <c r="AA147" s="46"/>
      <c r="AB147" s="46"/>
    </row>
    <row r="148" spans="20:28">
      <c r="T148" s="46"/>
      <c r="U148" s="46"/>
      <c r="V148" s="46"/>
      <c r="W148" s="46"/>
      <c r="X148" s="46"/>
      <c r="Y148" s="46"/>
      <c r="Z148" s="46"/>
      <c r="AA148" s="46"/>
      <c r="AB148" s="46"/>
    </row>
    <row r="149" spans="20:28">
      <c r="T149" s="46"/>
      <c r="U149" s="46"/>
      <c r="V149" s="46"/>
      <c r="W149" s="46"/>
      <c r="X149" s="46"/>
      <c r="Y149" s="46"/>
      <c r="Z149" s="46"/>
      <c r="AA149" s="46"/>
      <c r="AB149" s="46"/>
    </row>
    <row r="150" spans="20:28">
      <c r="T150" s="46"/>
      <c r="U150" s="46"/>
      <c r="V150" s="46"/>
      <c r="W150" s="46"/>
      <c r="X150" s="46"/>
      <c r="Y150" s="46"/>
      <c r="Z150" s="46"/>
      <c r="AA150" s="46"/>
      <c r="AB150" s="46"/>
    </row>
    <row r="151" spans="20:28">
      <c r="T151" s="46"/>
      <c r="U151" s="46"/>
      <c r="V151" s="46"/>
      <c r="W151" s="46"/>
      <c r="X151" s="46"/>
      <c r="Y151" s="46"/>
      <c r="Z151" s="46"/>
      <c r="AA151" s="46"/>
      <c r="AB151" s="46"/>
    </row>
    <row r="152" spans="20:28">
      <c r="T152" s="46"/>
      <c r="U152" s="46"/>
      <c r="V152" s="46"/>
      <c r="W152" s="46"/>
      <c r="X152" s="46"/>
      <c r="Y152" s="46"/>
      <c r="Z152" s="46"/>
      <c r="AA152" s="46"/>
      <c r="AB152" s="46"/>
    </row>
    <row r="153" spans="20:28">
      <c r="T153" s="46"/>
      <c r="U153" s="46"/>
      <c r="V153" s="46"/>
      <c r="W153" s="46"/>
      <c r="X153" s="46"/>
      <c r="Y153" s="46"/>
      <c r="Z153" s="46"/>
      <c r="AA153" s="46"/>
      <c r="AB153" s="46"/>
    </row>
    <row r="154" spans="20:28">
      <c r="T154" s="46"/>
      <c r="U154" s="46"/>
      <c r="V154" s="46"/>
      <c r="W154" s="46"/>
      <c r="X154" s="46"/>
      <c r="Y154" s="46"/>
      <c r="Z154" s="46"/>
      <c r="AA154" s="46"/>
      <c r="AB154" s="46"/>
    </row>
    <row r="155" spans="20:28">
      <c r="T155" s="46"/>
      <c r="U155" s="46"/>
      <c r="V155" s="46"/>
      <c r="W155" s="46"/>
      <c r="X155" s="46"/>
      <c r="Y155" s="46"/>
      <c r="Z155" s="46"/>
      <c r="AA155" s="46"/>
      <c r="AB155" s="46"/>
    </row>
    <row r="156" spans="20:28">
      <c r="T156" s="46"/>
      <c r="U156" s="46"/>
      <c r="V156" s="46"/>
      <c r="W156" s="46"/>
      <c r="X156" s="46"/>
      <c r="Y156" s="46"/>
      <c r="Z156" s="46"/>
      <c r="AA156" s="46"/>
      <c r="AB156" s="46"/>
    </row>
    <row r="157" spans="20:28">
      <c r="T157" s="46"/>
      <c r="U157" s="46"/>
      <c r="V157" s="46"/>
      <c r="W157" s="46"/>
      <c r="X157" s="46"/>
      <c r="Y157" s="46"/>
      <c r="Z157" s="46"/>
      <c r="AA157" s="46"/>
      <c r="AB157" s="46"/>
    </row>
    <row r="158" spans="20:28">
      <c r="T158" s="46"/>
      <c r="U158" s="46"/>
      <c r="V158" s="46"/>
      <c r="W158" s="46"/>
      <c r="X158" s="46"/>
      <c r="Y158" s="46"/>
      <c r="Z158" s="46"/>
      <c r="AA158" s="46"/>
      <c r="AB158" s="46"/>
    </row>
    <row r="159" spans="20:28">
      <c r="T159" s="46"/>
      <c r="U159" s="46"/>
      <c r="V159" s="46"/>
      <c r="W159" s="46"/>
      <c r="X159" s="46"/>
      <c r="Y159" s="46"/>
      <c r="Z159" s="46"/>
      <c r="AA159" s="46"/>
      <c r="AB159" s="46"/>
    </row>
    <row r="160" spans="20:28">
      <c r="T160" s="46"/>
      <c r="U160" s="46"/>
      <c r="V160" s="46"/>
      <c r="W160" s="46"/>
      <c r="X160" s="46"/>
      <c r="Y160" s="46"/>
      <c r="Z160" s="46"/>
      <c r="AA160" s="46"/>
      <c r="AB160" s="46"/>
    </row>
    <row r="161" spans="20:28">
      <c r="T161" s="46"/>
      <c r="U161" s="46"/>
      <c r="V161" s="46"/>
      <c r="W161" s="46"/>
      <c r="X161" s="46"/>
      <c r="Y161" s="46"/>
      <c r="Z161" s="46"/>
      <c r="AA161" s="46"/>
      <c r="AB161" s="46"/>
    </row>
    <row r="162" spans="20:28">
      <c r="T162" s="46"/>
      <c r="U162" s="46"/>
      <c r="V162" s="46"/>
      <c r="W162" s="46"/>
      <c r="X162" s="46"/>
      <c r="Y162" s="46"/>
      <c r="Z162" s="46"/>
      <c r="AA162" s="46"/>
      <c r="AB162" s="46"/>
    </row>
    <row r="163" spans="20:28">
      <c r="T163" s="46"/>
      <c r="U163" s="46"/>
      <c r="V163" s="46"/>
      <c r="W163" s="46"/>
      <c r="X163" s="46"/>
      <c r="Y163" s="46"/>
      <c r="Z163" s="46"/>
      <c r="AA163" s="46"/>
      <c r="AB163" s="46"/>
    </row>
    <row r="164" spans="20:28">
      <c r="T164" s="46"/>
      <c r="U164" s="46"/>
      <c r="V164" s="46"/>
      <c r="W164" s="46"/>
      <c r="X164" s="46"/>
      <c r="Y164" s="46"/>
      <c r="Z164" s="46"/>
      <c r="AA164" s="46"/>
      <c r="AB164" s="46"/>
    </row>
    <row r="165" spans="20:28">
      <c r="T165" s="46"/>
      <c r="U165" s="46"/>
      <c r="V165" s="46"/>
      <c r="W165" s="46"/>
      <c r="X165" s="46"/>
      <c r="Y165" s="46"/>
      <c r="Z165" s="46"/>
      <c r="AA165" s="46"/>
      <c r="AB165" s="46"/>
    </row>
    <row r="166" spans="20:28">
      <c r="T166" s="46"/>
      <c r="U166" s="46"/>
      <c r="V166" s="46"/>
      <c r="W166" s="46"/>
      <c r="X166" s="46"/>
      <c r="Y166" s="46"/>
      <c r="Z166" s="46"/>
      <c r="AA166" s="46"/>
      <c r="AB166" s="46"/>
    </row>
    <row r="167" spans="20:28">
      <c r="T167" s="46"/>
      <c r="U167" s="46"/>
      <c r="V167" s="46"/>
      <c r="W167" s="46"/>
      <c r="X167" s="46"/>
      <c r="Y167" s="46"/>
      <c r="Z167" s="46"/>
      <c r="AA167" s="46"/>
      <c r="AB167" s="46"/>
    </row>
    <row r="168" spans="20:28">
      <c r="T168" s="46"/>
      <c r="U168" s="46"/>
      <c r="V168" s="46"/>
      <c r="W168" s="46"/>
      <c r="X168" s="46"/>
      <c r="Y168" s="46"/>
      <c r="Z168" s="46"/>
      <c r="AA168" s="46"/>
      <c r="AB168" s="46"/>
    </row>
    <row r="169" spans="20:28">
      <c r="T169" s="46"/>
      <c r="U169" s="46"/>
      <c r="V169" s="46"/>
      <c r="W169" s="46"/>
      <c r="X169" s="46"/>
      <c r="Y169" s="46"/>
      <c r="Z169" s="46"/>
      <c r="AA169" s="46"/>
      <c r="AB169" s="46"/>
    </row>
    <row r="170" spans="20:28">
      <c r="T170" s="46"/>
      <c r="U170" s="46"/>
      <c r="V170" s="46"/>
      <c r="W170" s="46"/>
      <c r="X170" s="46"/>
      <c r="Y170" s="46"/>
      <c r="Z170" s="46"/>
      <c r="AA170" s="46"/>
      <c r="AB170" s="46"/>
    </row>
    <row r="171" spans="20:28">
      <c r="T171" s="46"/>
      <c r="U171" s="46"/>
      <c r="V171" s="46"/>
      <c r="W171" s="46"/>
      <c r="X171" s="46"/>
      <c r="Y171" s="46"/>
      <c r="Z171" s="46"/>
      <c r="AA171" s="46"/>
      <c r="AB171" s="46"/>
    </row>
    <row r="172" spans="20:28">
      <c r="T172" s="46"/>
      <c r="U172" s="46"/>
      <c r="V172" s="46"/>
      <c r="W172" s="46"/>
      <c r="X172" s="46"/>
      <c r="Y172" s="46"/>
      <c r="Z172" s="46"/>
      <c r="AA172" s="46"/>
      <c r="AB172" s="46"/>
    </row>
    <row r="173" spans="20:28">
      <c r="T173" s="46"/>
      <c r="U173" s="46"/>
      <c r="V173" s="46"/>
      <c r="W173" s="46"/>
      <c r="X173" s="46"/>
      <c r="Y173" s="46"/>
      <c r="Z173" s="46"/>
      <c r="AA173" s="46"/>
      <c r="AB173" s="46"/>
    </row>
    <row r="174" spans="20:28">
      <c r="T174" s="46"/>
      <c r="U174" s="46"/>
      <c r="V174" s="46"/>
      <c r="W174" s="46"/>
      <c r="X174" s="46"/>
      <c r="Y174" s="46"/>
      <c r="Z174" s="46"/>
      <c r="AA174" s="46"/>
      <c r="AB174" s="46"/>
    </row>
    <row r="175" spans="20:28">
      <c r="T175" s="46"/>
      <c r="U175" s="46"/>
      <c r="V175" s="46"/>
      <c r="W175" s="46"/>
      <c r="X175" s="46"/>
      <c r="Y175" s="46"/>
      <c r="Z175" s="46"/>
      <c r="AA175" s="46"/>
      <c r="AB175" s="46"/>
    </row>
    <row r="176" spans="20:28">
      <c r="T176" s="46"/>
      <c r="U176" s="46"/>
      <c r="V176" s="46"/>
      <c r="W176" s="46"/>
      <c r="X176" s="46"/>
      <c r="Y176" s="46"/>
      <c r="Z176" s="46"/>
      <c r="AA176" s="46"/>
      <c r="AB176" s="46"/>
    </row>
    <row r="177" spans="20:28">
      <c r="T177" s="46"/>
      <c r="U177" s="46"/>
      <c r="V177" s="46"/>
      <c r="W177" s="46"/>
      <c r="X177" s="46"/>
      <c r="Y177" s="46"/>
      <c r="Z177" s="46"/>
      <c r="AA177" s="46"/>
      <c r="AB177" s="46"/>
    </row>
    <row r="178" spans="20:28">
      <c r="T178" s="46"/>
      <c r="U178" s="46"/>
      <c r="V178" s="46"/>
      <c r="W178" s="46"/>
      <c r="X178" s="46"/>
      <c r="Y178" s="46"/>
      <c r="Z178" s="46"/>
      <c r="AA178" s="46"/>
      <c r="AB178" s="46"/>
    </row>
    <row r="179" spans="20:28">
      <c r="T179" s="46"/>
      <c r="U179" s="46"/>
      <c r="V179" s="46"/>
      <c r="W179" s="46"/>
      <c r="X179" s="46"/>
      <c r="Y179" s="46"/>
      <c r="Z179" s="46"/>
      <c r="AA179" s="46"/>
      <c r="AB179" s="46"/>
    </row>
    <row r="180" spans="20:28">
      <c r="T180" s="46"/>
      <c r="U180" s="46"/>
      <c r="V180" s="46"/>
      <c r="W180" s="46"/>
      <c r="X180" s="46"/>
      <c r="Y180" s="46"/>
      <c r="Z180" s="46"/>
      <c r="AA180" s="46"/>
      <c r="AB180" s="46"/>
    </row>
    <row r="181" spans="20:28">
      <c r="T181" s="46"/>
      <c r="U181" s="46"/>
      <c r="V181" s="46"/>
      <c r="W181" s="46"/>
      <c r="X181" s="46"/>
      <c r="Y181" s="46"/>
      <c r="Z181" s="46"/>
      <c r="AA181" s="46"/>
      <c r="AB181" s="46"/>
    </row>
    <row r="182" spans="20:28">
      <c r="T182" s="46"/>
      <c r="U182" s="46"/>
      <c r="V182" s="46"/>
      <c r="W182" s="46"/>
      <c r="X182" s="46"/>
      <c r="Y182" s="46"/>
      <c r="Z182" s="46"/>
      <c r="AA182" s="46"/>
      <c r="AB182" s="46"/>
    </row>
    <row r="183" spans="20:28">
      <c r="T183" s="46"/>
      <c r="U183" s="46"/>
      <c r="V183" s="46"/>
      <c r="W183" s="46"/>
      <c r="X183" s="46"/>
      <c r="Y183" s="46"/>
      <c r="Z183" s="46"/>
      <c r="AA183" s="46"/>
      <c r="AB183" s="46"/>
    </row>
    <row r="184" spans="20:28">
      <c r="T184" s="46"/>
      <c r="U184" s="46"/>
      <c r="V184" s="46"/>
      <c r="W184" s="46"/>
      <c r="X184" s="46"/>
      <c r="Y184" s="46"/>
      <c r="Z184" s="46"/>
      <c r="AA184" s="46"/>
      <c r="AB184" s="46"/>
    </row>
    <row r="185" spans="20:28">
      <c r="T185" s="46"/>
      <c r="U185" s="46"/>
      <c r="V185" s="46"/>
      <c r="W185" s="46"/>
      <c r="X185" s="46"/>
      <c r="Y185" s="46"/>
      <c r="Z185" s="46"/>
      <c r="AA185" s="46"/>
      <c r="AB185" s="46"/>
    </row>
    <row r="186" spans="20:28">
      <c r="T186" s="46"/>
      <c r="U186" s="46"/>
      <c r="V186" s="46"/>
      <c r="W186" s="46"/>
      <c r="X186" s="46"/>
      <c r="Y186" s="46"/>
      <c r="Z186" s="46"/>
      <c r="AA186" s="46"/>
      <c r="AB186" s="46"/>
    </row>
    <row r="187" spans="20:28">
      <c r="T187" s="46"/>
      <c r="U187" s="46"/>
      <c r="V187" s="46"/>
      <c r="W187" s="46"/>
      <c r="X187" s="46"/>
      <c r="Y187" s="46"/>
      <c r="Z187" s="46"/>
      <c r="AA187" s="46"/>
      <c r="AB187" s="46"/>
    </row>
    <row r="188" spans="20:28">
      <c r="T188" s="46"/>
      <c r="U188" s="46"/>
      <c r="V188" s="46"/>
      <c r="W188" s="46"/>
      <c r="X188" s="46"/>
      <c r="Y188" s="46"/>
      <c r="Z188" s="46"/>
      <c r="AA188" s="46"/>
      <c r="AB188" s="46"/>
    </row>
    <row r="189" spans="20:28">
      <c r="T189" s="46"/>
      <c r="U189" s="46"/>
      <c r="V189" s="46"/>
      <c r="W189" s="46"/>
      <c r="X189" s="46"/>
      <c r="Y189" s="46"/>
      <c r="Z189" s="46"/>
      <c r="AA189" s="46"/>
      <c r="AB189" s="46"/>
    </row>
    <row r="190" spans="20:28">
      <c r="T190" s="46"/>
      <c r="U190" s="46"/>
      <c r="V190" s="46"/>
      <c r="W190" s="46"/>
      <c r="X190" s="46"/>
      <c r="Y190" s="46"/>
      <c r="Z190" s="46"/>
      <c r="AA190" s="46"/>
      <c r="AB190" s="46"/>
    </row>
    <row r="191" spans="20:28">
      <c r="T191" s="46"/>
      <c r="U191" s="46"/>
      <c r="V191" s="46"/>
      <c r="W191" s="46"/>
      <c r="X191" s="46"/>
      <c r="Y191" s="46"/>
      <c r="Z191" s="46"/>
      <c r="AA191" s="46"/>
      <c r="AB191" s="46"/>
    </row>
    <row r="192" spans="20:28">
      <c r="T192" s="46"/>
      <c r="U192" s="46"/>
      <c r="V192" s="46"/>
      <c r="W192" s="46"/>
      <c r="X192" s="46"/>
      <c r="Y192" s="46"/>
      <c r="Z192" s="46"/>
      <c r="AA192" s="46"/>
      <c r="AB192" s="46"/>
    </row>
    <row r="193" spans="20:28">
      <c r="T193" s="46"/>
      <c r="U193" s="46"/>
      <c r="V193" s="46"/>
      <c r="W193" s="46"/>
      <c r="X193" s="46"/>
      <c r="Y193" s="46"/>
      <c r="Z193" s="46"/>
      <c r="AA193" s="46"/>
      <c r="AB193" s="46"/>
    </row>
    <row r="194" spans="20:28">
      <c r="T194" s="46"/>
      <c r="U194" s="46"/>
      <c r="V194" s="46"/>
      <c r="W194" s="46"/>
      <c r="X194" s="46"/>
      <c r="Y194" s="46"/>
      <c r="Z194" s="46"/>
      <c r="AA194" s="46"/>
      <c r="AB194" s="46"/>
    </row>
    <row r="195" spans="20:28">
      <c r="T195" s="46"/>
      <c r="U195" s="46"/>
      <c r="V195" s="46"/>
      <c r="W195" s="46"/>
      <c r="X195" s="46"/>
      <c r="Y195" s="46"/>
      <c r="Z195" s="46"/>
      <c r="AA195" s="46"/>
      <c r="AB195" s="46"/>
    </row>
    <row r="196" spans="20:28">
      <c r="T196" s="46"/>
      <c r="U196" s="46"/>
      <c r="V196" s="46"/>
      <c r="W196" s="46"/>
      <c r="X196" s="46"/>
      <c r="Y196" s="46"/>
      <c r="Z196" s="46"/>
      <c r="AA196" s="46"/>
      <c r="AB196" s="46"/>
    </row>
    <row r="197" spans="20:28">
      <c r="T197" s="46"/>
      <c r="U197" s="46"/>
      <c r="V197" s="46"/>
      <c r="W197" s="46"/>
      <c r="X197" s="46"/>
      <c r="Y197" s="46"/>
      <c r="Z197" s="46"/>
      <c r="AA197" s="46"/>
      <c r="AB197" s="46"/>
    </row>
    <row r="198" spans="20:28">
      <c r="T198" s="46"/>
      <c r="U198" s="46"/>
      <c r="V198" s="46"/>
      <c r="W198" s="46"/>
      <c r="X198" s="46"/>
      <c r="Y198" s="46"/>
      <c r="Z198" s="46"/>
      <c r="AA198" s="46"/>
      <c r="AB198" s="46"/>
    </row>
    <row r="199" spans="20:28">
      <c r="T199" s="46"/>
      <c r="U199" s="46"/>
      <c r="V199" s="46"/>
      <c r="W199" s="46"/>
      <c r="X199" s="46"/>
      <c r="Y199" s="46"/>
      <c r="Z199" s="46"/>
      <c r="AA199" s="46"/>
      <c r="AB199" s="46"/>
    </row>
    <row r="200" spans="20:28">
      <c r="T200" s="46"/>
      <c r="U200" s="46"/>
      <c r="V200" s="46"/>
      <c r="W200" s="46"/>
      <c r="X200" s="46"/>
      <c r="Y200" s="46"/>
      <c r="Z200" s="46"/>
      <c r="AA200" s="46"/>
      <c r="AB200" s="46"/>
    </row>
    <row r="201" spans="20:28">
      <c r="T201" s="46"/>
      <c r="U201" s="46"/>
      <c r="V201" s="46"/>
      <c r="W201" s="46"/>
      <c r="X201" s="46"/>
      <c r="Y201" s="46"/>
      <c r="Z201" s="46"/>
      <c r="AA201" s="46"/>
      <c r="AB201" s="46"/>
    </row>
    <row r="202" spans="20:28">
      <c r="T202" s="46"/>
      <c r="U202" s="46"/>
      <c r="V202" s="46"/>
      <c r="W202" s="46"/>
      <c r="X202" s="46"/>
      <c r="Y202" s="46"/>
      <c r="Z202" s="46"/>
      <c r="AA202" s="46"/>
      <c r="AB202" s="46"/>
    </row>
    <row r="203" spans="20:28">
      <c r="T203" s="46"/>
      <c r="U203" s="46"/>
      <c r="V203" s="46"/>
      <c r="W203" s="46"/>
      <c r="X203" s="46"/>
      <c r="Y203" s="46"/>
      <c r="Z203" s="46"/>
      <c r="AA203" s="46"/>
      <c r="AB203" s="46"/>
    </row>
    <row r="204" spans="20:28">
      <c r="T204" s="46"/>
      <c r="U204" s="46"/>
      <c r="V204" s="46"/>
      <c r="W204" s="46"/>
      <c r="X204" s="46"/>
      <c r="Y204" s="46"/>
      <c r="Z204" s="46"/>
      <c r="AA204" s="46"/>
      <c r="AB204" s="46"/>
    </row>
    <row r="205" spans="20:28">
      <c r="T205" s="46"/>
      <c r="U205" s="46"/>
      <c r="V205" s="46"/>
      <c r="W205" s="46"/>
      <c r="X205" s="46"/>
      <c r="Y205" s="46"/>
      <c r="Z205" s="46"/>
      <c r="AA205" s="46"/>
      <c r="AB205" s="46"/>
    </row>
    <row r="206" spans="20:28">
      <c r="T206" s="46"/>
      <c r="U206" s="46"/>
      <c r="V206" s="46"/>
      <c r="W206" s="46"/>
      <c r="X206" s="46"/>
      <c r="Y206" s="46"/>
      <c r="Z206" s="46"/>
      <c r="AA206" s="46"/>
      <c r="AB206" s="46"/>
    </row>
    <row r="207" spans="20:28">
      <c r="T207" s="46"/>
      <c r="U207" s="46"/>
      <c r="V207" s="46"/>
      <c r="W207" s="46"/>
      <c r="X207" s="46"/>
      <c r="Y207" s="46"/>
      <c r="Z207" s="46"/>
      <c r="AA207" s="46"/>
      <c r="AB207" s="46"/>
    </row>
    <row r="208" spans="20:28">
      <c r="T208" s="46"/>
      <c r="U208" s="46"/>
      <c r="V208" s="46"/>
      <c r="W208" s="46"/>
      <c r="X208" s="46"/>
      <c r="Y208" s="46"/>
      <c r="Z208" s="46"/>
      <c r="AA208" s="46"/>
      <c r="AB208" s="46"/>
    </row>
    <row r="209" spans="20:28">
      <c r="T209" s="46"/>
      <c r="U209" s="46"/>
      <c r="V209" s="46"/>
      <c r="W209" s="46"/>
      <c r="X209" s="46"/>
      <c r="Y209" s="46"/>
      <c r="Z209" s="46"/>
      <c r="AA209" s="46"/>
      <c r="AB209" s="46"/>
    </row>
    <row r="210" spans="20:28">
      <c r="T210" s="46"/>
      <c r="U210" s="46"/>
      <c r="V210" s="46"/>
      <c r="W210" s="46"/>
      <c r="X210" s="46"/>
      <c r="Y210" s="46"/>
      <c r="Z210" s="46"/>
      <c r="AA210" s="46"/>
      <c r="AB210" s="46"/>
    </row>
    <row r="211" spans="20:28">
      <c r="T211" s="46"/>
      <c r="U211" s="46"/>
      <c r="V211" s="46"/>
      <c r="W211" s="46"/>
      <c r="X211" s="46"/>
      <c r="Y211" s="46"/>
      <c r="Z211" s="46"/>
      <c r="AA211" s="46"/>
      <c r="AB211" s="46"/>
    </row>
    <row r="212" spans="20:28">
      <c r="T212" s="46"/>
      <c r="U212" s="46"/>
      <c r="V212" s="46"/>
      <c r="W212" s="46"/>
      <c r="X212" s="46"/>
      <c r="Y212" s="46"/>
      <c r="Z212" s="46"/>
      <c r="AA212" s="46"/>
      <c r="AB212" s="46"/>
    </row>
    <row r="213" spans="20:28">
      <c r="T213" s="46"/>
      <c r="U213" s="46"/>
      <c r="V213" s="46"/>
      <c r="W213" s="46"/>
      <c r="X213" s="46"/>
      <c r="Y213" s="46"/>
      <c r="Z213" s="46"/>
      <c r="AA213" s="46"/>
      <c r="AB213" s="46"/>
    </row>
    <row r="214" spans="20:28">
      <c r="T214" s="46"/>
      <c r="U214" s="46"/>
      <c r="V214" s="46"/>
      <c r="W214" s="46"/>
      <c r="X214" s="46"/>
      <c r="Y214" s="46"/>
      <c r="Z214" s="46"/>
      <c r="AA214" s="46"/>
      <c r="AB214" s="46"/>
    </row>
    <row r="215" spans="20:28">
      <c r="T215" s="46"/>
      <c r="U215" s="46"/>
      <c r="V215" s="46"/>
      <c r="W215" s="46"/>
      <c r="X215" s="46"/>
      <c r="Y215" s="46"/>
      <c r="Z215" s="46"/>
      <c r="AA215" s="46"/>
      <c r="AB215" s="46"/>
    </row>
    <row r="216" spans="20:28">
      <c r="T216" s="46"/>
      <c r="U216" s="46"/>
      <c r="V216" s="46"/>
      <c r="W216" s="46"/>
      <c r="X216" s="46"/>
      <c r="Y216" s="46"/>
      <c r="Z216" s="46"/>
      <c r="AA216" s="46"/>
      <c r="AB216" s="46"/>
    </row>
    <row r="217" spans="20:28">
      <c r="T217" s="46"/>
      <c r="U217" s="46"/>
      <c r="V217" s="46"/>
      <c r="W217" s="46"/>
      <c r="X217" s="46"/>
      <c r="Y217" s="46"/>
      <c r="Z217" s="46"/>
      <c r="AA217" s="46"/>
      <c r="AB217" s="46"/>
    </row>
    <row r="218" spans="20:28">
      <c r="T218" s="46"/>
      <c r="U218" s="46"/>
      <c r="V218" s="46"/>
      <c r="W218" s="46"/>
      <c r="X218" s="46"/>
      <c r="Y218" s="46"/>
      <c r="Z218" s="46"/>
      <c r="AA218" s="46"/>
      <c r="AB218" s="46"/>
    </row>
    <row r="219" spans="20:28">
      <c r="T219" s="46"/>
      <c r="U219" s="46"/>
      <c r="V219" s="46"/>
      <c r="W219" s="46"/>
      <c r="X219" s="46"/>
      <c r="Y219" s="46"/>
      <c r="Z219" s="46"/>
      <c r="AA219" s="46"/>
      <c r="AB219" s="46"/>
    </row>
    <row r="220" spans="20:28">
      <c r="T220" s="46"/>
      <c r="U220" s="46"/>
      <c r="V220" s="46"/>
      <c r="W220" s="46"/>
      <c r="X220" s="46"/>
      <c r="Y220" s="46"/>
      <c r="Z220" s="46"/>
      <c r="AA220" s="46"/>
      <c r="AB220" s="46"/>
    </row>
    <row r="221" spans="20:28">
      <c r="T221" s="46"/>
      <c r="U221" s="46"/>
      <c r="V221" s="46"/>
      <c r="W221" s="46"/>
      <c r="X221" s="46"/>
      <c r="Y221" s="46"/>
      <c r="Z221" s="46"/>
      <c r="AA221" s="46"/>
      <c r="AB221" s="46"/>
    </row>
    <row r="222" spans="20:28">
      <c r="T222" s="46"/>
      <c r="U222" s="46"/>
      <c r="V222" s="46"/>
      <c r="W222" s="46"/>
      <c r="X222" s="46"/>
      <c r="Y222" s="46"/>
      <c r="Z222" s="46"/>
      <c r="AA222" s="46"/>
      <c r="AB222" s="46"/>
    </row>
    <row r="223" spans="20:28">
      <c r="T223" s="46"/>
      <c r="U223" s="46"/>
      <c r="V223" s="46"/>
      <c r="W223" s="46"/>
      <c r="X223" s="46"/>
      <c r="Y223" s="46"/>
      <c r="Z223" s="46"/>
      <c r="AA223" s="46"/>
      <c r="AB223" s="46"/>
    </row>
    <row r="224" spans="20:28">
      <c r="T224" s="46"/>
      <c r="U224" s="46"/>
      <c r="V224" s="46"/>
      <c r="W224" s="46"/>
      <c r="X224" s="46"/>
      <c r="Y224" s="46"/>
      <c r="Z224" s="46"/>
      <c r="AA224" s="46"/>
      <c r="AB224" s="46"/>
    </row>
    <row r="225" spans="20:28">
      <c r="T225" s="46"/>
      <c r="U225" s="46"/>
      <c r="V225" s="46"/>
      <c r="W225" s="46"/>
      <c r="X225" s="46"/>
      <c r="Y225" s="46"/>
      <c r="Z225" s="46"/>
      <c r="AA225" s="46"/>
      <c r="AB225" s="46"/>
    </row>
    <row r="226" spans="20:28">
      <c r="T226" s="46"/>
      <c r="U226" s="46"/>
      <c r="V226" s="46"/>
      <c r="W226" s="46"/>
      <c r="X226" s="46"/>
      <c r="Y226" s="46"/>
      <c r="Z226" s="46"/>
      <c r="AA226" s="46"/>
      <c r="AB226" s="46"/>
    </row>
    <row r="227" spans="20:28">
      <c r="T227" s="46"/>
      <c r="U227" s="46"/>
      <c r="V227" s="46"/>
      <c r="W227" s="46"/>
      <c r="X227" s="46"/>
      <c r="Y227" s="46"/>
      <c r="Z227" s="46"/>
      <c r="AA227" s="46"/>
      <c r="AB227" s="46"/>
    </row>
    <row r="228" spans="20:28">
      <c r="T228" s="46"/>
      <c r="U228" s="46"/>
      <c r="V228" s="46"/>
      <c r="W228" s="46"/>
      <c r="X228" s="46"/>
      <c r="Y228" s="46"/>
      <c r="Z228" s="46"/>
      <c r="AA228" s="46"/>
      <c r="AB228" s="46"/>
    </row>
    <row r="229" spans="20:28">
      <c r="T229" s="46"/>
      <c r="U229" s="46"/>
      <c r="V229" s="46"/>
      <c r="W229" s="46"/>
      <c r="X229" s="46"/>
      <c r="Y229" s="46"/>
      <c r="Z229" s="46"/>
      <c r="AA229" s="46"/>
      <c r="AB229" s="46"/>
    </row>
    <row r="230" spans="20:28">
      <c r="T230" s="46"/>
      <c r="U230" s="46"/>
      <c r="V230" s="46"/>
      <c r="W230" s="46"/>
      <c r="X230" s="46"/>
      <c r="Y230" s="46"/>
      <c r="Z230" s="46"/>
      <c r="AA230" s="46"/>
      <c r="AB230" s="46"/>
    </row>
    <row r="231" spans="20:28">
      <c r="T231" s="46"/>
      <c r="U231" s="46"/>
      <c r="V231" s="46"/>
      <c r="W231" s="46"/>
      <c r="X231" s="46"/>
      <c r="Y231" s="46"/>
      <c r="Z231" s="46"/>
      <c r="AA231" s="46"/>
      <c r="AB231" s="46"/>
    </row>
    <row r="232" spans="20:28">
      <c r="T232" s="46"/>
      <c r="U232" s="46"/>
      <c r="V232" s="46"/>
      <c r="W232" s="46"/>
      <c r="X232" s="46"/>
      <c r="Y232" s="46"/>
      <c r="Z232" s="46"/>
      <c r="AA232" s="46"/>
      <c r="AB232" s="46"/>
    </row>
    <row r="233" spans="20:28">
      <c r="T233" s="46"/>
      <c r="U233" s="46"/>
      <c r="V233" s="46"/>
      <c r="W233" s="46"/>
      <c r="X233" s="46"/>
      <c r="Y233" s="46"/>
      <c r="Z233" s="46"/>
      <c r="AA233" s="46"/>
      <c r="AB233" s="46"/>
    </row>
    <row r="234" spans="20:28">
      <c r="T234" s="46"/>
      <c r="U234" s="46"/>
      <c r="V234" s="46"/>
      <c r="W234" s="46"/>
      <c r="X234" s="46"/>
      <c r="Y234" s="46"/>
      <c r="Z234" s="46"/>
      <c r="AA234" s="46"/>
      <c r="AB234" s="46"/>
    </row>
    <row r="235" spans="20:28">
      <c r="T235" s="46"/>
      <c r="U235" s="46"/>
      <c r="V235" s="46"/>
      <c r="W235" s="46"/>
      <c r="X235" s="46"/>
      <c r="Y235" s="46"/>
      <c r="Z235" s="46"/>
      <c r="AA235" s="46"/>
      <c r="AB235" s="46"/>
    </row>
    <row r="236" spans="20:28">
      <c r="T236" s="46"/>
      <c r="U236" s="46"/>
      <c r="V236" s="46"/>
      <c r="W236" s="46"/>
      <c r="X236" s="46"/>
      <c r="Y236" s="46"/>
      <c r="Z236" s="46"/>
      <c r="AA236" s="46"/>
      <c r="AB236" s="46"/>
    </row>
    <row r="237" spans="20:28">
      <c r="T237" s="46"/>
      <c r="U237" s="46"/>
      <c r="V237" s="46"/>
      <c r="W237" s="46"/>
      <c r="X237" s="46"/>
      <c r="Y237" s="46"/>
      <c r="Z237" s="46"/>
      <c r="AA237" s="46"/>
      <c r="AB237" s="46"/>
    </row>
    <row r="238" spans="20:28">
      <c r="T238" s="46"/>
      <c r="U238" s="46"/>
      <c r="V238" s="46"/>
      <c r="W238" s="46"/>
      <c r="X238" s="46"/>
      <c r="Y238" s="46"/>
      <c r="Z238" s="46"/>
      <c r="AA238" s="46"/>
      <c r="AB238" s="46"/>
    </row>
    <row r="239" spans="20:28">
      <c r="T239" s="46"/>
      <c r="U239" s="46"/>
      <c r="V239" s="46"/>
      <c r="W239" s="46"/>
      <c r="X239" s="46"/>
      <c r="Y239" s="46"/>
      <c r="Z239" s="46"/>
      <c r="AA239" s="46"/>
      <c r="AB239" s="46"/>
    </row>
    <row r="240" spans="20:28">
      <c r="T240" s="46"/>
      <c r="U240" s="46"/>
      <c r="V240" s="46"/>
      <c r="W240" s="46"/>
      <c r="X240" s="46"/>
      <c r="Y240" s="46"/>
      <c r="Z240" s="46"/>
      <c r="AA240" s="46"/>
      <c r="AB240" s="46"/>
    </row>
    <row r="241" spans="20:28">
      <c r="T241" s="46"/>
      <c r="U241" s="46"/>
      <c r="V241" s="46"/>
      <c r="W241" s="46"/>
      <c r="X241" s="46"/>
      <c r="Y241" s="46"/>
      <c r="Z241" s="46"/>
      <c r="AA241" s="46"/>
      <c r="AB241" s="46"/>
    </row>
    <row r="242" spans="20:28">
      <c r="T242" s="46"/>
      <c r="U242" s="46"/>
      <c r="V242" s="46"/>
      <c r="W242" s="46"/>
      <c r="X242" s="46"/>
      <c r="Y242" s="46"/>
      <c r="Z242" s="46"/>
      <c r="AA242" s="46"/>
      <c r="AB242" s="46"/>
    </row>
    <row r="243" spans="20:28">
      <c r="T243" s="46"/>
      <c r="U243" s="46"/>
      <c r="V243" s="46"/>
      <c r="W243" s="46"/>
      <c r="X243" s="46"/>
      <c r="Y243" s="46"/>
      <c r="Z243" s="46"/>
      <c r="AA243" s="46"/>
      <c r="AB243" s="46"/>
    </row>
    <row r="244" spans="20:28">
      <c r="T244" s="46"/>
      <c r="U244" s="46"/>
      <c r="V244" s="46"/>
      <c r="W244" s="46"/>
      <c r="X244" s="46"/>
      <c r="Y244" s="46"/>
      <c r="Z244" s="46"/>
      <c r="AA244" s="46"/>
      <c r="AB244" s="46"/>
    </row>
    <row r="245" spans="20:28">
      <c r="T245" s="46"/>
      <c r="U245" s="46"/>
      <c r="V245" s="46"/>
      <c r="W245" s="46"/>
      <c r="X245" s="46"/>
      <c r="Y245" s="46"/>
      <c r="Z245" s="46"/>
      <c r="AA245" s="46"/>
      <c r="AB245" s="46"/>
    </row>
  </sheetData>
  <sheetProtection sheet="1" objects="1" scenarios="1"/>
  <mergeCells count="5">
    <mergeCell ref="F28:I28"/>
    <mergeCell ref="C37:K39"/>
    <mergeCell ref="E52:F52"/>
    <mergeCell ref="G52:I52"/>
    <mergeCell ref="O52:Q52"/>
  </mergeCells>
  <hyperlinks>
    <hyperlink ref="C30" location="DADES_ACTUAL!B73" display="Aturada sistema en vacances" xr:uid="{7577F51C-1F70-46C8-BA30-B4F3B1D9C6EE}"/>
    <hyperlink ref="C31" location="DADES_ACTUAL!B78" display="Reducció demanda ACS" xr:uid="{04C5A044-8A31-496D-8526-37D284D81747}"/>
    <hyperlink ref="C32" location="DADES_ACTUAL!B82" display="Reducció consigna dipòsit" xr:uid="{4BF5D170-821F-4266-AB30-2A9BD267E4AE}"/>
    <hyperlink ref="C33" location="DADES_ACTUAL!B89" display="Reducció temperatura recirculació" xr:uid="{0C6F44E9-23CD-4DD9-9879-FBCCDC3338D1}"/>
    <hyperlink ref="C35" location="DADES_ACTUAL!B99" display="Millora aïllament dipòsits" xr:uid="{8DF1E374-B2F4-4387-AC74-6129E481339C}"/>
    <hyperlink ref="C34" location="DADES_ACTUAL!B97" display="Millora aïllament canonades" xr:uid="{F724AF43-29B7-4D7A-B2E3-1995B776C3DA}"/>
  </hyperlinks>
  <pageMargins left="0.23622047244094491" right="0.23622047244094491" top="0.74803149606299213" bottom="0.74803149606299213" header="0.31496062992125984" footer="0.31496062992125984"/>
  <pageSetup paperSize="9" scale="57" fitToHeight="0" orientation="portrait" r:id="rId1"/>
  <rowBreaks count="1" manualBreakCount="1">
    <brk id="49" max="16383" man="1"/>
  </rowBreaks>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FF40493-D3EB-47F6-B6AF-CE4229AFAF40}">
          <x14:formula1>
            <xm:f>municipis!$A:$A</xm:f>
          </x14:formula1>
          <xm:sqref>D2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1FD15-7839-4B0E-B8B9-B7E76A2B27C5}">
  <sheetPr codeName="Full6"/>
  <dimension ref="A1:AC54"/>
  <sheetViews>
    <sheetView showGridLines="0" view="pageBreakPreview" zoomScale="85" zoomScaleNormal="85" zoomScaleSheetLayoutView="85" workbookViewId="0">
      <pane xSplit="12" ySplit="1" topLeftCell="M2" activePane="bottomRight" state="frozen"/>
      <selection pane="topRight" activeCell="M1" sqref="M1"/>
      <selection pane="bottomLeft" activeCell="A2" sqref="A2"/>
      <selection pane="bottomRight" activeCell="F11" sqref="F11"/>
    </sheetView>
  </sheetViews>
  <sheetFormatPr defaultRowHeight="14.4"/>
  <cols>
    <col min="1" max="1" width="5" customWidth="1"/>
    <col min="2" max="2" width="3.6640625" customWidth="1"/>
    <col min="3" max="3" width="7.33203125" customWidth="1"/>
    <col min="4" max="4" width="6.21875" customWidth="1"/>
    <col min="9" max="9" width="10.6640625" customWidth="1"/>
    <col min="12" max="12" width="17.5546875" customWidth="1"/>
    <col min="13" max="13" width="15.5546875" customWidth="1"/>
    <col min="14" max="14" width="13.33203125" customWidth="1"/>
    <col min="15" max="15" width="21.44140625" customWidth="1"/>
    <col min="16" max="16" width="11.21875" bestFit="1" customWidth="1"/>
    <col min="23" max="23" width="12.5546875" customWidth="1"/>
  </cols>
  <sheetData>
    <row r="1" spans="1:29" s="3" customFormat="1" ht="18">
      <c r="A1" s="198"/>
      <c r="B1" s="198"/>
      <c r="C1" s="199" t="s">
        <v>931</v>
      </c>
      <c r="D1" s="198"/>
      <c r="E1" s="198"/>
      <c r="F1" s="198"/>
      <c r="G1" s="198"/>
      <c r="H1" s="198"/>
      <c r="I1" s="198"/>
      <c r="J1" s="198"/>
      <c r="K1" s="198"/>
      <c r="L1" s="198"/>
      <c r="M1" s="46"/>
      <c r="N1" s="353" t="s">
        <v>942</v>
      </c>
      <c r="O1" s="353"/>
      <c r="P1" s="353"/>
      <c r="Q1" s="353"/>
      <c r="R1" s="353"/>
      <c r="S1" s="353"/>
      <c r="T1" s="353"/>
      <c r="U1" s="353"/>
      <c r="V1" s="353"/>
      <c r="W1" s="353"/>
      <c r="X1" s="353"/>
      <c r="Y1" s="353"/>
      <c r="Z1" s="353"/>
      <c r="AA1" s="353"/>
      <c r="AB1" s="353"/>
      <c r="AC1" s="198"/>
    </row>
    <row r="3" spans="1:29" s="3" customFormat="1" ht="18">
      <c r="B3" s="234"/>
      <c r="C3" s="322" t="s">
        <v>445</v>
      </c>
      <c r="D3" s="199"/>
      <c r="E3" s="198"/>
      <c r="F3" s="198"/>
      <c r="G3" s="198"/>
      <c r="H3" s="198"/>
      <c r="I3" s="198"/>
      <c r="J3" s="198"/>
      <c r="K3" s="198"/>
      <c r="L3" s="198"/>
      <c r="N3"/>
      <c r="O3"/>
    </row>
    <row r="4" spans="1:29" s="3" customFormat="1" ht="58.2" customHeight="1">
      <c r="B4" s="511" t="s">
        <v>940</v>
      </c>
      <c r="C4" s="511"/>
      <c r="D4" s="511"/>
      <c r="E4" s="511"/>
      <c r="F4" s="511"/>
      <c r="G4" s="511"/>
      <c r="H4" s="511"/>
      <c r="I4" s="511"/>
      <c r="J4" s="511"/>
      <c r="K4" s="511"/>
      <c r="L4" s="511"/>
      <c r="N4"/>
      <c r="O4"/>
    </row>
    <row r="5" spans="1:29" s="3" customFormat="1" ht="18">
      <c r="B5" s="2" t="s">
        <v>941</v>
      </c>
      <c r="D5" s="227"/>
      <c r="N5"/>
      <c r="O5"/>
    </row>
    <row r="6" spans="1:29" s="3" customFormat="1" ht="15" thickBot="1">
      <c r="N6" s="127" t="s">
        <v>926</v>
      </c>
      <c r="O6"/>
      <c r="P6"/>
      <c r="Q6"/>
      <c r="R6"/>
      <c r="S6"/>
      <c r="T6"/>
      <c r="U6"/>
      <c r="V6"/>
      <c r="W6"/>
      <c r="X6"/>
      <c r="Y6"/>
      <c r="Z6"/>
      <c r="AA6" s="127" t="s">
        <v>936</v>
      </c>
      <c r="AB6"/>
    </row>
    <row r="7" spans="1:29" ht="41.4" customHeight="1" thickBot="1">
      <c r="B7" s="511" t="s">
        <v>935</v>
      </c>
      <c r="C7" s="511"/>
      <c r="D7" s="511"/>
      <c r="E7" s="511"/>
      <c r="F7" s="511"/>
      <c r="G7" s="511"/>
      <c r="H7" s="511"/>
      <c r="I7" s="511"/>
      <c r="J7" s="511"/>
      <c r="K7" s="511"/>
      <c r="L7" s="236"/>
      <c r="M7" s="236"/>
      <c r="N7" s="312" t="s">
        <v>934</v>
      </c>
      <c r="O7" s="313"/>
      <c r="P7" s="313"/>
      <c r="Q7" s="313"/>
      <c r="R7" s="313"/>
      <c r="S7" s="313"/>
      <c r="T7" s="313"/>
      <c r="U7" s="313"/>
      <c r="V7" s="313"/>
      <c r="W7" s="313"/>
      <c r="X7" s="313"/>
      <c r="Y7" s="314"/>
      <c r="AA7" s="317" t="s">
        <v>460</v>
      </c>
      <c r="AB7" s="317" t="s">
        <v>447</v>
      </c>
    </row>
    <row r="8" spans="1:29">
      <c r="C8" t="s">
        <v>463</v>
      </c>
      <c r="F8">
        <f>+DADES_ACTUAL!C2</f>
        <v>0</v>
      </c>
      <c r="N8" s="263"/>
      <c r="O8" s="264"/>
      <c r="P8" s="264"/>
      <c r="Q8" s="264"/>
      <c r="R8" s="293" t="s">
        <v>811</v>
      </c>
      <c r="S8" s="294"/>
      <c r="T8" s="294"/>
      <c r="U8" s="294"/>
      <c r="V8" s="294"/>
      <c r="W8" s="295"/>
      <c r="X8" s="294"/>
      <c r="Y8" s="296"/>
      <c r="AA8" s="240" t="s">
        <v>448</v>
      </c>
      <c r="AB8" s="240">
        <v>1.1970000000000001</v>
      </c>
    </row>
    <row r="9" spans="1:29">
      <c r="C9" s="179" t="s">
        <v>460</v>
      </c>
      <c r="D9" s="179"/>
      <c r="E9" s="179"/>
      <c r="F9" s="259" t="e">
        <f>+VLOOKUP(F8,municipis_BCN,6,0)</f>
        <v>#N/A</v>
      </c>
      <c r="N9" s="265"/>
      <c r="R9" s="285" t="s">
        <v>812</v>
      </c>
      <c r="S9" s="285" t="s">
        <v>813</v>
      </c>
      <c r="T9" s="286" t="s">
        <v>814</v>
      </c>
      <c r="U9" s="286" t="s">
        <v>812</v>
      </c>
      <c r="V9" s="286" t="s">
        <v>813</v>
      </c>
      <c r="W9" s="286" t="s">
        <v>814</v>
      </c>
      <c r="X9" s="287" t="s">
        <v>812</v>
      </c>
      <c r="Y9" s="288" t="s">
        <v>813</v>
      </c>
      <c r="AA9" s="240" t="s">
        <v>449</v>
      </c>
      <c r="AB9" s="240">
        <v>1.196</v>
      </c>
    </row>
    <row r="10" spans="1:29">
      <c r="C10" s="179" t="s">
        <v>834</v>
      </c>
      <c r="D10" s="179"/>
      <c r="E10" s="179"/>
      <c r="F10" s="259" t="e">
        <f>+IF(F9="E1","mitjà","càlid")</f>
        <v>#N/A</v>
      </c>
      <c r="N10" s="265"/>
      <c r="R10" s="289" t="s">
        <v>815</v>
      </c>
      <c r="S10" s="289" t="s">
        <v>815</v>
      </c>
      <c r="T10" s="290" t="s">
        <v>816</v>
      </c>
      <c r="U10" s="289" t="s">
        <v>817</v>
      </c>
      <c r="V10" s="289" t="s">
        <v>817</v>
      </c>
      <c r="W10" s="290" t="s">
        <v>818</v>
      </c>
      <c r="X10" s="291" t="s">
        <v>819</v>
      </c>
      <c r="Y10" s="292" t="s">
        <v>819</v>
      </c>
      <c r="AA10" s="240" t="s">
        <v>450</v>
      </c>
      <c r="AB10" s="240">
        <v>1.179</v>
      </c>
    </row>
    <row r="11" spans="1:29">
      <c r="C11" s="179" t="s">
        <v>446</v>
      </c>
      <c r="D11" s="179"/>
      <c r="E11" s="179"/>
      <c r="F11" s="372"/>
      <c r="N11" s="265" t="s">
        <v>820</v>
      </c>
      <c r="O11" t="s">
        <v>821</v>
      </c>
      <c r="R11" s="272" t="s">
        <v>822</v>
      </c>
      <c r="S11" s="273" t="s">
        <v>822</v>
      </c>
      <c r="T11" s="274"/>
      <c r="U11" s="273" t="s">
        <v>822</v>
      </c>
      <c r="V11" s="274"/>
      <c r="W11" s="275"/>
      <c r="X11" s="276" t="s">
        <v>822</v>
      </c>
      <c r="Y11" s="280"/>
      <c r="AA11" s="240" t="s">
        <v>451</v>
      </c>
      <c r="AB11" s="240">
        <v>1.1779999999999999</v>
      </c>
    </row>
    <row r="12" spans="1:29">
      <c r="C12" s="179" t="s">
        <v>462</v>
      </c>
      <c r="D12" s="179"/>
      <c r="E12" s="179"/>
      <c r="F12" s="373">
        <v>3.3</v>
      </c>
      <c r="G12" t="s">
        <v>927</v>
      </c>
      <c r="N12" s="266" t="s">
        <v>826</v>
      </c>
      <c r="O12" s="179" t="s">
        <v>825</v>
      </c>
      <c r="P12" s="260" t="s">
        <v>823</v>
      </c>
      <c r="Q12" s="260" t="s">
        <v>824</v>
      </c>
      <c r="R12" s="277">
        <v>18</v>
      </c>
      <c r="S12" s="261">
        <v>5.0999999999999996</v>
      </c>
      <c r="T12" s="278">
        <v>4.46</v>
      </c>
      <c r="U12" s="279">
        <v>15.9</v>
      </c>
      <c r="V12" s="297">
        <v>3.35</v>
      </c>
      <c r="W12" s="278">
        <v>3.53</v>
      </c>
      <c r="X12" s="262"/>
      <c r="Y12" s="267"/>
      <c r="AA12" s="240" t="s">
        <v>452</v>
      </c>
      <c r="AB12" s="240">
        <v>1.137</v>
      </c>
    </row>
    <row r="13" spans="1:29">
      <c r="C13" s="179" t="s">
        <v>447</v>
      </c>
      <c r="D13" s="179"/>
      <c r="E13" s="179"/>
      <c r="F13" s="179">
        <f>IF(F11=0,0.9,VLOOKUP(F9,AA8:AB19,2,))</f>
        <v>0.9</v>
      </c>
      <c r="N13" s="266" t="s">
        <v>827</v>
      </c>
      <c r="O13" s="260" t="s">
        <v>828</v>
      </c>
      <c r="P13" s="260" t="s">
        <v>823</v>
      </c>
      <c r="Q13" s="260" t="s">
        <v>824</v>
      </c>
      <c r="R13" s="277">
        <v>70.3</v>
      </c>
      <c r="S13" s="261">
        <v>4.43</v>
      </c>
      <c r="T13" s="278">
        <v>3.56</v>
      </c>
      <c r="U13" s="279">
        <v>63.1</v>
      </c>
      <c r="V13" s="297">
        <v>2.99</v>
      </c>
      <c r="W13" s="278">
        <v>2.9</v>
      </c>
      <c r="X13" s="262">
        <v>57.3</v>
      </c>
      <c r="Y13" s="267"/>
      <c r="AA13" s="240" t="s">
        <v>453</v>
      </c>
      <c r="AB13" s="240">
        <v>1.1419999999999999</v>
      </c>
    </row>
    <row r="14" spans="1:29">
      <c r="C14" s="323" t="s">
        <v>461</v>
      </c>
      <c r="D14" s="323"/>
      <c r="E14" s="323"/>
      <c r="F14" s="324">
        <f>IF(F11=0,F12*F13,F11*F13)</f>
        <v>2.9699999999999998</v>
      </c>
      <c r="N14" s="266" t="s">
        <v>832</v>
      </c>
      <c r="O14" s="260" t="s">
        <v>833</v>
      </c>
      <c r="P14" s="260" t="s">
        <v>823</v>
      </c>
      <c r="Q14" s="260" t="s">
        <v>824</v>
      </c>
      <c r="R14" s="277">
        <v>138</v>
      </c>
      <c r="S14" s="261">
        <v>4.47</v>
      </c>
      <c r="T14" s="278">
        <v>4.0999999999999996</v>
      </c>
      <c r="U14" s="279"/>
      <c r="V14" s="297"/>
      <c r="W14" s="278">
        <v>3.6</v>
      </c>
      <c r="X14" s="262">
        <v>104.5</v>
      </c>
      <c r="Y14" s="298">
        <v>2.2999999999999998</v>
      </c>
      <c r="AA14" s="240" t="s">
        <v>454</v>
      </c>
      <c r="AB14" s="240">
        <v>1.1439999999999999</v>
      </c>
    </row>
    <row r="15" spans="1:29">
      <c r="N15" s="266" t="s">
        <v>829</v>
      </c>
      <c r="O15" s="260" t="s">
        <v>828</v>
      </c>
      <c r="P15" s="260" t="s">
        <v>823</v>
      </c>
      <c r="Q15" s="260" t="s">
        <v>824</v>
      </c>
      <c r="R15" s="277">
        <v>152</v>
      </c>
      <c r="S15" s="261">
        <v>2.64</v>
      </c>
      <c r="T15" s="278">
        <v>3.46</v>
      </c>
      <c r="U15" s="279"/>
      <c r="V15" s="297"/>
      <c r="W15" s="278"/>
      <c r="X15" s="262"/>
      <c r="Y15" s="267"/>
      <c r="AA15" s="240" t="s">
        <v>455</v>
      </c>
      <c r="AB15" s="240">
        <v>1.143</v>
      </c>
    </row>
    <row r="16" spans="1:29" ht="15" thickBot="1">
      <c r="N16" s="268" t="s">
        <v>830</v>
      </c>
      <c r="O16" s="269" t="s">
        <v>831</v>
      </c>
      <c r="P16" s="269" t="s">
        <v>823</v>
      </c>
      <c r="Q16" s="269" t="s">
        <v>824</v>
      </c>
      <c r="R16" s="281">
        <v>339</v>
      </c>
      <c r="S16" s="270"/>
      <c r="T16" s="282"/>
      <c r="U16" s="283">
        <v>339</v>
      </c>
      <c r="V16" s="270"/>
      <c r="W16" s="284"/>
      <c r="X16" s="271">
        <v>322.45</v>
      </c>
      <c r="Y16" s="299">
        <v>3.07</v>
      </c>
      <c r="AA16" s="240" t="s">
        <v>456</v>
      </c>
      <c r="AB16" s="240">
        <v>1.0940000000000001</v>
      </c>
    </row>
    <row r="17" spans="1:28">
      <c r="AA17" s="240" t="s">
        <v>457</v>
      </c>
      <c r="AB17" s="240">
        <v>1.099</v>
      </c>
    </row>
    <row r="18" spans="1:28" ht="18">
      <c r="A18" s="3"/>
      <c r="B18" s="234"/>
      <c r="C18" s="322" t="s">
        <v>878</v>
      </c>
      <c r="D18" s="199"/>
      <c r="E18" s="198"/>
      <c r="F18" s="198"/>
      <c r="G18" s="198"/>
      <c r="H18" s="198"/>
      <c r="I18" s="198"/>
      <c r="J18" s="198"/>
      <c r="K18" s="198"/>
      <c r="L18" s="198"/>
      <c r="M18" s="3"/>
      <c r="P18" s="3"/>
      <c r="Q18" s="3"/>
      <c r="R18" s="3"/>
      <c r="S18" s="3"/>
      <c r="T18" s="3"/>
      <c r="U18" s="3"/>
      <c r="V18" s="3"/>
      <c r="W18" s="3"/>
      <c r="AA18" s="240" t="s">
        <v>458</v>
      </c>
      <c r="AB18" s="240">
        <v>1.101</v>
      </c>
    </row>
    <row r="19" spans="1:28" ht="18">
      <c r="A19" s="3"/>
      <c r="B19" s="2" t="s">
        <v>869</v>
      </c>
      <c r="C19" s="3"/>
      <c r="D19" s="227"/>
      <c r="E19" s="3"/>
      <c r="F19" s="3"/>
      <c r="G19" s="3"/>
      <c r="H19" s="3"/>
      <c r="I19" s="3"/>
      <c r="J19" s="3"/>
      <c r="K19" s="3"/>
      <c r="L19" s="3"/>
      <c r="M19" s="3"/>
      <c r="P19" s="3"/>
      <c r="Q19" s="3"/>
      <c r="R19" s="3"/>
      <c r="S19" s="3"/>
      <c r="T19" s="3"/>
      <c r="U19" s="3"/>
      <c r="V19" s="3"/>
      <c r="W19" s="3"/>
      <c r="AA19" s="240" t="s">
        <v>459</v>
      </c>
      <c r="AB19" s="240">
        <v>1.038</v>
      </c>
    </row>
    <row r="20" spans="1:28" ht="18">
      <c r="A20" s="3"/>
      <c r="B20" s="2" t="s">
        <v>938</v>
      </c>
      <c r="C20" s="3"/>
      <c r="D20" s="227"/>
      <c r="E20" s="3"/>
      <c r="F20" s="3"/>
      <c r="G20" s="3"/>
      <c r="H20" s="3"/>
      <c r="I20" s="3"/>
      <c r="J20" s="3"/>
      <c r="K20" s="3"/>
      <c r="L20" s="3"/>
      <c r="M20" s="3"/>
      <c r="P20" s="3"/>
      <c r="Q20" s="3"/>
      <c r="R20" s="3"/>
      <c r="S20" s="3"/>
      <c r="T20" s="3"/>
      <c r="U20" s="3"/>
      <c r="V20" s="3"/>
      <c r="W20" s="3"/>
    </row>
    <row r="21" spans="1:28" ht="15" thickBot="1">
      <c r="B21" s="511" t="s">
        <v>937</v>
      </c>
      <c r="C21" s="511"/>
      <c r="D21" s="511"/>
      <c r="E21" s="511"/>
      <c r="F21" s="511"/>
      <c r="G21" s="511"/>
      <c r="H21" s="511"/>
      <c r="I21" s="511"/>
      <c r="J21" s="511"/>
      <c r="K21" s="511"/>
      <c r="L21" s="236"/>
      <c r="M21" s="236"/>
      <c r="N21" s="127" t="s">
        <v>933</v>
      </c>
    </row>
    <row r="22" spans="1:28" s="3" customFormat="1" ht="15" thickBot="1">
      <c r="A22"/>
      <c r="B22"/>
      <c r="C22" s="179" t="s">
        <v>872</v>
      </c>
      <c r="D22" s="179"/>
      <c r="E22" s="179"/>
      <c r="F22" s="374">
        <v>0.85</v>
      </c>
      <c r="G22" s="179"/>
      <c r="H22"/>
      <c r="I22"/>
      <c r="J22"/>
      <c r="K22"/>
      <c r="L22"/>
      <c r="M22"/>
      <c r="N22" s="310" t="s">
        <v>835</v>
      </c>
      <c r="O22" s="318" t="s">
        <v>836</v>
      </c>
      <c r="P22" s="319"/>
      <c r="Q22" s="319"/>
      <c r="R22" s="319"/>
      <c r="S22" s="319"/>
      <c r="T22" s="319"/>
      <c r="U22" s="319"/>
      <c r="V22" s="320"/>
      <c r="W22" s="311" t="s">
        <v>837</v>
      </c>
    </row>
    <row r="23" spans="1:28" s="3" customFormat="1">
      <c r="A23"/>
      <c r="B23"/>
      <c r="C23" s="179" t="s">
        <v>873</v>
      </c>
      <c r="D23" s="179"/>
      <c r="E23" s="179"/>
      <c r="F23" s="375">
        <v>1998</v>
      </c>
      <c r="G23" s="179"/>
      <c r="H23"/>
      <c r="I23"/>
      <c r="J23"/>
      <c r="K23"/>
      <c r="L23"/>
      <c r="M23"/>
      <c r="N23" s="300" t="s">
        <v>838</v>
      </c>
      <c r="O23" s="555" t="s">
        <v>839</v>
      </c>
      <c r="P23" s="556"/>
      <c r="Q23" s="556"/>
      <c r="R23" s="556"/>
      <c r="S23" s="556"/>
      <c r="T23" s="556"/>
      <c r="U23" s="556"/>
      <c r="V23" s="557"/>
      <c r="W23" s="301" t="s">
        <v>840</v>
      </c>
    </row>
    <row r="24" spans="1:28" s="3" customFormat="1">
      <c r="A24"/>
      <c r="B24"/>
      <c r="C24" s="179" t="s">
        <v>874</v>
      </c>
      <c r="D24" s="179"/>
      <c r="E24" s="179"/>
      <c r="F24" s="325">
        <f>+DADES_ACTUAL!J1-eina_rendiments!F23</f>
        <v>-1998</v>
      </c>
      <c r="G24" s="179" t="s">
        <v>421</v>
      </c>
      <c r="H24"/>
      <c r="I24"/>
      <c r="J24"/>
      <c r="K24"/>
      <c r="L24"/>
      <c r="M24"/>
      <c r="N24" s="302" t="s">
        <v>838</v>
      </c>
      <c r="O24" s="552" t="s">
        <v>841</v>
      </c>
      <c r="P24" s="553"/>
      <c r="Q24" s="553"/>
      <c r="R24" s="553"/>
      <c r="S24" s="553"/>
      <c r="T24" s="553"/>
      <c r="U24" s="553"/>
      <c r="V24" s="554"/>
      <c r="W24" s="303" t="s">
        <v>842</v>
      </c>
    </row>
    <row r="25" spans="1:28">
      <c r="C25" s="179" t="s">
        <v>875</v>
      </c>
      <c r="D25" s="179"/>
      <c r="E25" s="179"/>
      <c r="F25" s="376">
        <v>5.0000000000000001E-3</v>
      </c>
      <c r="G25" s="179"/>
      <c r="N25" s="302" t="s">
        <v>838</v>
      </c>
      <c r="O25" s="552" t="s">
        <v>843</v>
      </c>
      <c r="P25" s="553"/>
      <c r="Q25" s="553"/>
      <c r="R25" s="553"/>
      <c r="S25" s="553"/>
      <c r="T25" s="553"/>
      <c r="U25" s="553"/>
      <c r="V25" s="554"/>
      <c r="W25" s="303" t="s">
        <v>842</v>
      </c>
    </row>
    <row r="26" spans="1:28">
      <c r="C26" s="179" t="s">
        <v>877</v>
      </c>
      <c r="D26" s="179"/>
      <c r="E26" s="179"/>
      <c r="F26" s="326">
        <f>IF(F24&gt;5,-(F24-5)*0.005,0)</f>
        <v>0</v>
      </c>
      <c r="G26" s="179"/>
      <c r="N26" s="302" t="s">
        <v>838</v>
      </c>
      <c r="O26" s="552" t="s">
        <v>844</v>
      </c>
      <c r="P26" s="553"/>
      <c r="Q26" s="553"/>
      <c r="R26" s="553"/>
      <c r="S26" s="553"/>
      <c r="T26" s="553"/>
      <c r="U26" s="553"/>
      <c r="V26" s="554"/>
      <c r="W26" s="303" t="s">
        <v>845</v>
      </c>
    </row>
    <row r="27" spans="1:28">
      <c r="C27" s="323" t="s">
        <v>876</v>
      </c>
      <c r="D27" s="323"/>
      <c r="E27" s="323"/>
      <c r="F27" s="327">
        <f>+F22+F26</f>
        <v>0.85</v>
      </c>
      <c r="G27" s="179"/>
      <c r="N27" s="302" t="s">
        <v>838</v>
      </c>
      <c r="O27" s="552" t="s">
        <v>846</v>
      </c>
      <c r="P27" s="553"/>
      <c r="Q27" s="553"/>
      <c r="R27" s="553"/>
      <c r="S27" s="553"/>
      <c r="T27" s="553"/>
      <c r="U27" s="553"/>
      <c r="V27" s="554"/>
      <c r="W27" s="303" t="s">
        <v>847</v>
      </c>
    </row>
    <row r="28" spans="1:28">
      <c r="C28" s="127"/>
      <c r="D28" s="127"/>
      <c r="E28" s="127"/>
      <c r="F28" s="352"/>
      <c r="N28" s="302" t="s">
        <v>838</v>
      </c>
      <c r="O28" s="552" t="s">
        <v>848</v>
      </c>
      <c r="P28" s="553"/>
      <c r="Q28" s="553"/>
      <c r="R28" s="553"/>
      <c r="S28" s="553"/>
      <c r="T28" s="553"/>
      <c r="U28" s="553"/>
      <c r="V28" s="554"/>
      <c r="W28" s="303" t="s">
        <v>849</v>
      </c>
    </row>
    <row r="29" spans="1:28">
      <c r="B29" s="127" t="s">
        <v>939</v>
      </c>
      <c r="C29" s="127"/>
      <c r="D29" s="127"/>
      <c r="E29" s="127"/>
      <c r="F29" s="321"/>
      <c r="N29" s="302" t="s">
        <v>838</v>
      </c>
      <c r="O29" s="552" t="s">
        <v>850</v>
      </c>
      <c r="P29" s="553"/>
      <c r="Q29" s="553"/>
      <c r="R29" s="553"/>
      <c r="S29" s="553"/>
      <c r="T29" s="553"/>
      <c r="U29" s="553"/>
      <c r="V29" s="554"/>
      <c r="W29" s="303" t="s">
        <v>851</v>
      </c>
    </row>
    <row r="30" spans="1:28">
      <c r="B30" s="511" t="s">
        <v>932</v>
      </c>
      <c r="C30" s="511"/>
      <c r="D30" s="511"/>
      <c r="E30" s="511"/>
      <c r="F30" s="511"/>
      <c r="G30" s="511"/>
      <c r="H30" s="511"/>
      <c r="I30" s="511"/>
      <c r="J30" s="511"/>
      <c r="K30" s="511"/>
      <c r="L30" s="511"/>
      <c r="N30" s="302" t="s">
        <v>838</v>
      </c>
      <c r="O30" s="552" t="s">
        <v>852</v>
      </c>
      <c r="P30" s="553"/>
      <c r="Q30" s="553"/>
      <c r="R30" s="553"/>
      <c r="S30" s="553"/>
      <c r="T30" s="553"/>
      <c r="U30" s="553"/>
      <c r="V30" s="554"/>
      <c r="W30" s="303" t="s">
        <v>853</v>
      </c>
    </row>
    <row r="31" spans="1:28" ht="15" thickBot="1">
      <c r="B31" s="511"/>
      <c r="C31" s="511"/>
      <c r="D31" s="511"/>
      <c r="E31" s="511"/>
      <c r="F31" s="511"/>
      <c r="G31" s="511"/>
      <c r="H31" s="511"/>
      <c r="I31" s="511"/>
      <c r="J31" s="511"/>
      <c r="K31" s="511"/>
      <c r="L31" s="511"/>
      <c r="M31" s="236"/>
      <c r="N31" s="302" t="s">
        <v>838</v>
      </c>
      <c r="O31" s="552" t="s">
        <v>854</v>
      </c>
      <c r="P31" s="553"/>
      <c r="Q31" s="553"/>
      <c r="R31" s="553"/>
      <c r="S31" s="553"/>
      <c r="T31" s="553"/>
      <c r="U31" s="553"/>
      <c r="V31" s="554"/>
      <c r="W31" s="303" t="s">
        <v>855</v>
      </c>
    </row>
    <row r="32" spans="1:28" ht="15" thickBot="1">
      <c r="C32" s="315" t="s">
        <v>870</v>
      </c>
      <c r="D32" s="316"/>
      <c r="E32" s="316"/>
      <c r="F32" s="316"/>
      <c r="G32" s="316"/>
      <c r="H32" s="316"/>
      <c r="I32" s="316"/>
      <c r="J32" s="316"/>
      <c r="K32" s="548" t="s">
        <v>871</v>
      </c>
      <c r="L32" s="549"/>
      <c r="N32" s="308" t="s">
        <v>856</v>
      </c>
      <c r="O32" s="552" t="s">
        <v>857</v>
      </c>
      <c r="P32" s="553"/>
      <c r="Q32" s="553"/>
      <c r="R32" s="553"/>
      <c r="S32" s="553"/>
      <c r="T32" s="553"/>
      <c r="U32" s="553"/>
      <c r="V32" s="554"/>
      <c r="W32" s="309" t="s">
        <v>858</v>
      </c>
    </row>
    <row r="33" spans="3:23" ht="15" thickBot="1">
      <c r="C33" s="545" t="s">
        <v>862</v>
      </c>
      <c r="D33" s="546"/>
      <c r="E33" s="546"/>
      <c r="F33" s="546"/>
      <c r="G33" s="546"/>
      <c r="H33" s="546"/>
      <c r="I33" s="546"/>
      <c r="J33" s="547"/>
      <c r="K33" s="550" t="str">
        <f>+VLOOKUP(C33,O23:W40,9,)</f>
        <v>79%</v>
      </c>
      <c r="L33" s="551"/>
      <c r="N33" s="300" t="s">
        <v>146</v>
      </c>
      <c r="O33" s="555" t="s">
        <v>859</v>
      </c>
      <c r="P33" s="556"/>
      <c r="Q33" s="556"/>
      <c r="R33" s="556"/>
      <c r="S33" s="556"/>
      <c r="T33" s="556"/>
      <c r="U33" s="556"/>
      <c r="V33" s="557"/>
      <c r="W33" s="301" t="s">
        <v>842</v>
      </c>
    </row>
    <row r="34" spans="3:23">
      <c r="N34" s="302" t="s">
        <v>146</v>
      </c>
      <c r="O34" s="552" t="s">
        <v>860</v>
      </c>
      <c r="P34" s="553"/>
      <c r="Q34" s="553"/>
      <c r="R34" s="553"/>
      <c r="S34" s="553"/>
      <c r="T34" s="553"/>
      <c r="U34" s="553"/>
      <c r="V34" s="554"/>
      <c r="W34" s="303" t="s">
        <v>861</v>
      </c>
    </row>
    <row r="35" spans="3:23">
      <c r="N35" s="302" t="s">
        <v>146</v>
      </c>
      <c r="O35" s="552" t="s">
        <v>862</v>
      </c>
      <c r="P35" s="553"/>
      <c r="Q35" s="553"/>
      <c r="R35" s="553"/>
      <c r="S35" s="553"/>
      <c r="T35" s="553"/>
      <c r="U35" s="553"/>
      <c r="V35" s="554"/>
      <c r="W35" s="303" t="s">
        <v>855</v>
      </c>
    </row>
    <row r="36" spans="3:23" ht="15" thickBot="1">
      <c r="N36" s="304" t="s">
        <v>146</v>
      </c>
      <c r="O36" s="561" t="s">
        <v>863</v>
      </c>
      <c r="P36" s="562"/>
      <c r="Q36" s="562"/>
      <c r="R36" s="562"/>
      <c r="S36" s="562"/>
      <c r="T36" s="562"/>
      <c r="U36" s="562"/>
      <c r="V36" s="563"/>
      <c r="W36" s="305" t="s">
        <v>858</v>
      </c>
    </row>
    <row r="37" spans="3:23" ht="15" customHeight="1">
      <c r="N37" s="306" t="s">
        <v>150</v>
      </c>
      <c r="O37" s="558" t="s">
        <v>864</v>
      </c>
      <c r="P37" s="559"/>
      <c r="Q37" s="559"/>
      <c r="R37" s="559"/>
      <c r="S37" s="559"/>
      <c r="T37" s="559"/>
      <c r="U37" s="559"/>
      <c r="V37" s="560"/>
      <c r="W37" s="307" t="s">
        <v>840</v>
      </c>
    </row>
    <row r="38" spans="3:23" ht="14.4" customHeight="1">
      <c r="N38" s="302" t="s">
        <v>150</v>
      </c>
      <c r="O38" s="552" t="s">
        <v>865</v>
      </c>
      <c r="P38" s="553"/>
      <c r="Q38" s="553"/>
      <c r="R38" s="553"/>
      <c r="S38" s="553"/>
      <c r="T38" s="553"/>
      <c r="U38" s="553"/>
      <c r="V38" s="554"/>
      <c r="W38" s="303" t="s">
        <v>866</v>
      </c>
    </row>
    <row r="39" spans="3:23" ht="14.4" customHeight="1">
      <c r="N39" s="302" t="s">
        <v>150</v>
      </c>
      <c r="O39" s="552" t="s">
        <v>867</v>
      </c>
      <c r="P39" s="553"/>
      <c r="Q39" s="553"/>
      <c r="R39" s="553"/>
      <c r="S39" s="553"/>
      <c r="T39" s="553"/>
      <c r="U39" s="553"/>
      <c r="V39" s="554"/>
      <c r="W39" s="303" t="s">
        <v>866</v>
      </c>
    </row>
    <row r="40" spans="3:23" ht="14.4" customHeight="1" thickBot="1">
      <c r="N40" s="304" t="s">
        <v>150</v>
      </c>
      <c r="O40" s="561" t="s">
        <v>868</v>
      </c>
      <c r="P40" s="562"/>
      <c r="Q40" s="562"/>
      <c r="R40" s="562"/>
      <c r="S40" s="562"/>
      <c r="T40" s="562"/>
      <c r="U40" s="562"/>
      <c r="V40" s="563"/>
      <c r="W40" s="305" t="s">
        <v>842</v>
      </c>
    </row>
    <row r="41" spans="3:23" ht="14.4" customHeight="1"/>
    <row r="42" spans="3:23" ht="14.4" customHeight="1"/>
    <row r="43" spans="3:23" ht="14.4" customHeight="1"/>
    <row r="44" spans="3:23" ht="14.4" customHeight="1"/>
    <row r="45" spans="3:23" ht="14.4" customHeight="1"/>
    <row r="46" spans="3:23" ht="14.4" customHeight="1"/>
    <row r="47" spans="3:23" ht="14.4" customHeight="1"/>
    <row r="48" spans="3:23" ht="14.4" customHeight="1"/>
    <row r="49" ht="14.4" customHeight="1"/>
    <row r="50" ht="14.4" customHeight="1"/>
    <row r="51" ht="14.4" customHeight="1"/>
    <row r="52" ht="14.4" customHeight="1"/>
    <row r="53" ht="15" customHeight="1"/>
    <row r="54" ht="15" customHeight="1"/>
  </sheetData>
  <sheetProtection sheet="1" objects="1" scenarios="1"/>
  <mergeCells count="25">
    <mergeCell ref="O37:V37"/>
    <mergeCell ref="O38:V38"/>
    <mergeCell ref="O39:V39"/>
    <mergeCell ref="O40:V40"/>
    <mergeCell ref="O32:V32"/>
    <mergeCell ref="O33:V33"/>
    <mergeCell ref="O35:V35"/>
    <mergeCell ref="O36:V36"/>
    <mergeCell ref="O34:V34"/>
    <mergeCell ref="O23:V23"/>
    <mergeCell ref="O24:V24"/>
    <mergeCell ref="O25:V25"/>
    <mergeCell ref="O26:V26"/>
    <mergeCell ref="O27:V27"/>
    <mergeCell ref="O28:V28"/>
    <mergeCell ref="O29:V29"/>
    <mergeCell ref="O30:V30"/>
    <mergeCell ref="O31:V31"/>
    <mergeCell ref="B30:L31"/>
    <mergeCell ref="C33:J33"/>
    <mergeCell ref="K32:L32"/>
    <mergeCell ref="K33:L33"/>
    <mergeCell ref="B4:L4"/>
    <mergeCell ref="B21:K21"/>
    <mergeCell ref="B7:K7"/>
  </mergeCells>
  <dataValidations disablePrompts="1" count="2">
    <dataValidation type="list" allowBlank="1" showInputMessage="1" showErrorMessage="1" sqref="F9" xr:uid="{33300215-B474-4D01-A3E1-730B2D6D6594}">
      <formula1>$AA$8:$AA$19</formula1>
    </dataValidation>
    <dataValidation type="list" allowBlank="1" showInputMessage="1" showErrorMessage="1" sqref="C33" xr:uid="{A502AAE0-3219-44CD-BEA6-E3A4E98EFEC8}">
      <formula1>$O$23:$O$40</formula1>
    </dataValidation>
  </dataValidations>
  <pageMargins left="0.7" right="0.7" top="0.75" bottom="0.75" header="0.3" footer="0.3"/>
  <pageSetup paperSize="9" scale="84"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E607E-9F15-4A54-901D-1E5E1443555D}">
  <sheetPr codeName="Full12"/>
  <dimension ref="A1:R31"/>
  <sheetViews>
    <sheetView workbookViewId="0">
      <selection activeCell="B2" sqref="B2"/>
    </sheetView>
  </sheetViews>
  <sheetFormatPr defaultRowHeight="14.4"/>
  <sheetData>
    <row r="1" spans="1:17">
      <c r="A1" s="570" t="s">
        <v>994</v>
      </c>
      <c r="B1" s="571"/>
      <c r="C1" s="571"/>
      <c r="D1" s="571"/>
      <c r="E1" s="571"/>
      <c r="F1" s="571"/>
      <c r="G1" s="571"/>
      <c r="H1" s="571"/>
      <c r="I1" s="571"/>
      <c r="J1" s="571"/>
      <c r="K1" s="571"/>
      <c r="L1" s="572"/>
      <c r="M1" s="449"/>
      <c r="N1" s="450"/>
      <c r="O1" s="450"/>
      <c r="P1" s="450"/>
      <c r="Q1" s="449"/>
    </row>
    <row r="2" spans="1:17" ht="22.2" customHeight="1">
      <c r="A2" s="472" t="s">
        <v>143</v>
      </c>
      <c r="B2" s="605" t="s">
        <v>995</v>
      </c>
      <c r="C2" s="451"/>
      <c r="D2" s="451"/>
      <c r="E2" s="451"/>
      <c r="F2" s="451"/>
      <c r="G2" s="451"/>
      <c r="H2" s="451"/>
      <c r="I2" s="451"/>
      <c r="J2" s="451"/>
      <c r="K2" s="451"/>
      <c r="L2" s="451"/>
      <c r="M2" s="449"/>
      <c r="N2" s="449"/>
      <c r="O2" s="449"/>
      <c r="P2" s="449"/>
      <c r="Q2" s="449"/>
    </row>
    <row r="3" spans="1:17">
      <c r="A3" s="450"/>
      <c r="B3" s="450"/>
      <c r="C3" s="450"/>
      <c r="D3" s="451"/>
      <c r="E3" s="451"/>
      <c r="F3" s="451"/>
      <c r="G3" s="451"/>
      <c r="H3" s="451"/>
      <c r="I3" s="451"/>
      <c r="J3" s="451"/>
      <c r="K3" s="451"/>
      <c r="L3" s="451"/>
      <c r="M3" s="449"/>
      <c r="N3" s="449"/>
      <c r="O3" s="449"/>
      <c r="P3" s="449"/>
      <c r="Q3" s="449"/>
    </row>
    <row r="4" spans="1:17">
      <c r="A4" s="450" t="s">
        <v>1041</v>
      </c>
      <c r="B4" s="449"/>
      <c r="C4" s="449"/>
      <c r="D4" s="449"/>
      <c r="E4" s="449"/>
      <c r="F4" s="449"/>
      <c r="G4" s="449"/>
      <c r="H4" s="449"/>
      <c r="I4" s="449"/>
      <c r="J4" s="449"/>
      <c r="K4" s="449"/>
      <c r="L4" s="449"/>
      <c r="M4" s="449"/>
      <c r="N4" s="449"/>
      <c r="O4" s="449"/>
      <c r="P4" s="449"/>
      <c r="Q4" s="449"/>
    </row>
    <row r="5" spans="1:17">
      <c r="A5" s="452"/>
      <c r="B5" s="453"/>
      <c r="C5" s="453"/>
      <c r="D5" s="454" t="s">
        <v>996</v>
      </c>
      <c r="E5" s="454" t="s">
        <v>997</v>
      </c>
      <c r="F5" s="454" t="s">
        <v>998</v>
      </c>
      <c r="G5" s="454" t="s">
        <v>999</v>
      </c>
      <c r="H5" s="454" t="s">
        <v>1000</v>
      </c>
      <c r="I5" s="454" t="s">
        <v>1001</v>
      </c>
      <c r="J5" s="454" t="s">
        <v>1002</v>
      </c>
      <c r="K5" s="455" t="s">
        <v>1003</v>
      </c>
      <c r="L5" s="456"/>
      <c r="M5" s="449"/>
      <c r="N5" s="457" t="s">
        <v>1009</v>
      </c>
      <c r="O5" s="3"/>
      <c r="P5" s="449"/>
      <c r="Q5" s="449"/>
    </row>
    <row r="6" spans="1:17">
      <c r="A6" s="567" t="s">
        <v>1004</v>
      </c>
      <c r="B6" s="568"/>
      <c r="C6" s="569"/>
      <c r="D6" s="595"/>
      <c r="E6" s="595"/>
      <c r="F6" s="595"/>
      <c r="G6" s="595"/>
      <c r="H6" s="595"/>
      <c r="I6" s="595"/>
      <c r="J6" s="595"/>
      <c r="K6" s="596"/>
      <c r="L6" s="596"/>
      <c r="M6" s="449"/>
      <c r="N6" s="458" t="s">
        <v>1010</v>
      </c>
      <c r="O6" s="459"/>
      <c r="P6" s="449"/>
      <c r="Q6" s="449"/>
    </row>
    <row r="7" spans="1:17">
      <c r="A7" s="567" t="s">
        <v>1005</v>
      </c>
      <c r="B7" s="568"/>
      <c r="C7" s="569"/>
      <c r="D7" s="595"/>
      <c r="E7" s="595"/>
      <c r="F7" s="595"/>
      <c r="G7" s="595"/>
      <c r="H7" s="595"/>
      <c r="I7" s="595"/>
      <c r="J7" s="595"/>
      <c r="K7" s="596"/>
      <c r="L7" s="596"/>
      <c r="M7" s="449"/>
      <c r="N7" s="458" t="s">
        <v>1011</v>
      </c>
      <c r="O7" s="459"/>
      <c r="P7" s="449"/>
      <c r="Q7" s="449"/>
    </row>
    <row r="8" spans="1:17">
      <c r="A8" s="567" t="s">
        <v>1006</v>
      </c>
      <c r="B8" s="568"/>
      <c r="C8" s="569"/>
      <c r="D8" s="597"/>
      <c r="E8" s="597"/>
      <c r="F8" s="597"/>
      <c r="G8" s="597"/>
      <c r="H8" s="597"/>
      <c r="I8" s="597"/>
      <c r="J8" s="597"/>
      <c r="K8" s="598"/>
      <c r="L8" s="599"/>
      <c r="M8" s="449"/>
      <c r="N8" s="458" t="s">
        <v>1012</v>
      </c>
      <c r="O8" s="459"/>
      <c r="P8" s="449"/>
      <c r="Q8" s="449"/>
    </row>
    <row r="9" spans="1:17">
      <c r="A9" s="567" t="s">
        <v>1007</v>
      </c>
      <c r="B9" s="568"/>
      <c r="C9" s="569"/>
      <c r="D9" s="597"/>
      <c r="E9" s="597"/>
      <c r="F9" s="597"/>
      <c r="G9" s="597"/>
      <c r="H9" s="597"/>
      <c r="I9" s="597"/>
      <c r="J9" s="597"/>
      <c r="K9" s="598"/>
      <c r="L9" s="599"/>
      <c r="M9" s="449"/>
      <c r="N9" s="458" t="s">
        <v>1013</v>
      </c>
      <c r="O9" s="459"/>
      <c r="P9" s="449"/>
      <c r="Q9" s="449"/>
    </row>
    <row r="10" spans="1:17">
      <c r="A10" s="567" t="s">
        <v>1008</v>
      </c>
      <c r="B10" s="568"/>
      <c r="C10" s="569"/>
      <c r="D10" s="597"/>
      <c r="E10" s="597"/>
      <c r="F10" s="597"/>
      <c r="G10" s="597"/>
      <c r="H10" s="597"/>
      <c r="I10" s="597"/>
      <c r="J10" s="597"/>
      <c r="K10" s="598"/>
      <c r="L10" s="599"/>
      <c r="M10" s="449"/>
      <c r="N10" s="449"/>
      <c r="O10" s="449"/>
      <c r="P10" s="449"/>
      <c r="Q10" s="449"/>
    </row>
    <row r="11" spans="1:17">
      <c r="A11" s="564" t="s">
        <v>1037</v>
      </c>
      <c r="B11" s="565"/>
      <c r="C11" s="566"/>
      <c r="D11" s="600">
        <v>8</v>
      </c>
      <c r="E11" s="600">
        <v>8</v>
      </c>
      <c r="F11" s="600">
        <v>8</v>
      </c>
      <c r="G11" s="600">
        <v>8</v>
      </c>
      <c r="H11" s="600">
        <v>8</v>
      </c>
      <c r="I11" s="600">
        <v>0</v>
      </c>
      <c r="J11" s="600">
        <v>0</v>
      </c>
      <c r="K11" s="596"/>
      <c r="L11" s="596"/>
      <c r="M11" s="449"/>
      <c r="N11" s="449"/>
      <c r="O11" s="449"/>
      <c r="P11" s="449"/>
      <c r="Q11" s="449"/>
    </row>
    <row r="12" spans="1:17">
      <c r="A12" s="564" t="s">
        <v>1038</v>
      </c>
      <c r="B12" s="565"/>
      <c r="C12" s="566"/>
      <c r="D12" s="600">
        <v>5</v>
      </c>
      <c r="E12" s="600">
        <v>5</v>
      </c>
      <c r="F12" s="600">
        <v>5</v>
      </c>
      <c r="G12" s="600">
        <v>5</v>
      </c>
      <c r="H12" s="600">
        <v>5</v>
      </c>
      <c r="I12" s="600">
        <v>0</v>
      </c>
      <c r="J12" s="600">
        <v>0</v>
      </c>
      <c r="K12" s="596"/>
      <c r="L12" s="596"/>
      <c r="M12" s="449"/>
      <c r="N12" s="449"/>
      <c r="O12" s="449"/>
      <c r="P12" s="449"/>
      <c r="Q12" s="449"/>
    </row>
    <row r="13" spans="1:17">
      <c r="A13" s="567" t="s">
        <v>1039</v>
      </c>
      <c r="B13" s="568"/>
      <c r="C13" s="569"/>
      <c r="D13" s="595"/>
      <c r="E13" s="595"/>
      <c r="F13" s="595"/>
      <c r="G13" s="595"/>
      <c r="H13" s="595"/>
      <c r="I13" s="595"/>
      <c r="J13" s="595"/>
      <c r="K13" s="596"/>
      <c r="L13" s="596"/>
      <c r="M13" s="449"/>
      <c r="N13" s="449"/>
      <c r="O13" s="449"/>
      <c r="P13" s="449"/>
      <c r="Q13" s="449"/>
    </row>
    <row r="14" spans="1:17">
      <c r="A14" s="567" t="s">
        <v>1040</v>
      </c>
      <c r="B14" s="568"/>
      <c r="C14" s="569"/>
      <c r="D14" s="595"/>
      <c r="E14" s="595"/>
      <c r="F14" s="595"/>
      <c r="G14" s="595"/>
      <c r="H14" s="595"/>
      <c r="I14" s="595"/>
      <c r="J14" s="595"/>
      <c r="K14" s="596"/>
      <c r="L14" s="596"/>
      <c r="M14" s="449"/>
      <c r="N14" s="449"/>
      <c r="O14" s="449"/>
      <c r="P14" s="449"/>
      <c r="Q14" s="449"/>
    </row>
    <row r="15" spans="1:17">
      <c r="A15" s="3"/>
      <c r="B15" s="3"/>
      <c r="C15" s="3"/>
      <c r="D15" s="3"/>
      <c r="E15" s="3"/>
      <c r="F15" s="3"/>
      <c r="G15" s="3"/>
      <c r="H15" s="3"/>
      <c r="I15" s="3"/>
      <c r="J15" s="3"/>
      <c r="K15" s="3"/>
      <c r="L15" s="3"/>
      <c r="M15" s="3"/>
      <c r="O15" s="3"/>
    </row>
    <row r="16" spans="1:17">
      <c r="A16" s="450" t="s">
        <v>1044</v>
      </c>
      <c r="B16" s="449"/>
      <c r="C16" s="449"/>
      <c r="D16" s="449"/>
      <c r="E16" s="449"/>
      <c r="F16" s="449"/>
      <c r="G16" s="449"/>
      <c r="H16" s="449"/>
      <c r="I16" s="449"/>
      <c r="J16" s="449"/>
      <c r="K16" s="449"/>
      <c r="L16" s="449"/>
      <c r="M16" s="449"/>
      <c r="N16" s="450" t="s">
        <v>1042</v>
      </c>
      <c r="O16" s="449"/>
      <c r="P16" s="474" t="str">
        <f>+B2</f>
        <v>2024</v>
      </c>
      <c r="Q16" s="473" t="s">
        <v>1046</v>
      </c>
    </row>
    <row r="17" spans="1:18">
      <c r="A17" s="449"/>
      <c r="B17" s="449"/>
      <c r="C17" s="449"/>
      <c r="D17" s="449"/>
      <c r="E17" s="449"/>
      <c r="F17" s="449"/>
      <c r="G17" s="449"/>
      <c r="H17" s="449"/>
      <c r="I17" s="449"/>
      <c r="J17" s="449"/>
      <c r="K17" s="449"/>
      <c r="L17" s="449"/>
      <c r="M17" s="449"/>
      <c r="O17" s="449"/>
      <c r="P17" s="449"/>
      <c r="Q17" s="473" t="s">
        <v>1047</v>
      </c>
    </row>
    <row r="18" spans="1:18" ht="60.6">
      <c r="A18" s="460"/>
      <c r="B18" s="461" t="s">
        <v>1014</v>
      </c>
      <c r="C18" s="461" t="s">
        <v>1015</v>
      </c>
      <c r="D18" s="470" t="s">
        <v>1016</v>
      </c>
      <c r="E18" s="470" t="s">
        <v>1043</v>
      </c>
      <c r="F18" s="461" t="s">
        <v>1019</v>
      </c>
      <c r="G18" s="461" t="s">
        <v>1045</v>
      </c>
      <c r="H18" s="461" t="s">
        <v>1017</v>
      </c>
      <c r="I18" s="470" t="s">
        <v>1018</v>
      </c>
      <c r="J18" s="462" t="s">
        <v>1020</v>
      </c>
      <c r="K18" s="463"/>
      <c r="L18" s="464"/>
      <c r="M18" s="449"/>
      <c r="N18" s="461" t="s">
        <v>1021</v>
      </c>
      <c r="O18" s="470" t="s">
        <v>1022</v>
      </c>
      <c r="P18" s="461" t="s">
        <v>1023</v>
      </c>
      <c r="Q18" s="461" t="s">
        <v>1024</v>
      </c>
      <c r="R18" s="475" t="s">
        <v>1048</v>
      </c>
    </row>
    <row r="19" spans="1:18">
      <c r="A19" s="456" t="s">
        <v>1025</v>
      </c>
      <c r="B19" s="593">
        <v>22</v>
      </c>
      <c r="C19" s="593">
        <v>0</v>
      </c>
      <c r="D19" s="454">
        <f>+B19+C19</f>
        <v>22</v>
      </c>
      <c r="E19" s="465">
        <f>B19*IFERROR(AVERAGEIF($D$11:$J$11,"&lt;&gt;0"),0)+C19*IFERROR(AVERAGEIF($D$12:$J$12,"&lt;&gt;0"),0)</f>
        <v>176</v>
      </c>
      <c r="F19" s="454">
        <f t="shared" ref="F19:F30" si="0">+N19-D19</f>
        <v>9</v>
      </c>
      <c r="G19" s="454">
        <f t="shared" ref="G19:G30" si="1">+F19-P19</f>
        <v>1</v>
      </c>
      <c r="H19" s="593">
        <f>+B19</f>
        <v>22</v>
      </c>
      <c r="I19" s="465">
        <f>IFERROR(H19/D19*E19,)</f>
        <v>176</v>
      </c>
      <c r="J19" s="602"/>
      <c r="K19" s="601"/>
      <c r="L19" s="603"/>
      <c r="M19" s="449"/>
      <c r="N19" s="454">
        <v>31</v>
      </c>
      <c r="O19" s="454">
        <f>+N19-P19-Q19-R19</f>
        <v>22</v>
      </c>
      <c r="P19" s="454">
        <v>8</v>
      </c>
      <c r="Q19" s="454">
        <v>1</v>
      </c>
      <c r="R19" s="594">
        <v>0</v>
      </c>
    </row>
    <row r="20" spans="1:18">
      <c r="A20" s="456" t="s">
        <v>1026</v>
      </c>
      <c r="B20" s="593">
        <v>21</v>
      </c>
      <c r="C20" s="593">
        <v>0</v>
      </c>
      <c r="D20" s="454">
        <f t="shared" ref="D20:D30" si="2">+B20+C20</f>
        <v>21</v>
      </c>
      <c r="E20" s="465">
        <f t="shared" ref="E20:E30" si="3">B20*IFERROR(AVERAGEIF($D$11:$J$11,"&lt;&gt;0"),0)+C20*IFERROR(AVERAGEIF($D$12:$J$12,"&lt;&gt;0"),0)</f>
        <v>168</v>
      </c>
      <c r="F20" s="454">
        <f t="shared" si="0"/>
        <v>8</v>
      </c>
      <c r="G20" s="454">
        <f t="shared" si="1"/>
        <v>0</v>
      </c>
      <c r="H20" s="593">
        <f t="shared" ref="H20:H21" si="4">+B20</f>
        <v>21</v>
      </c>
      <c r="I20" s="465">
        <f t="shared" ref="I20:I30" si="5">IFERROR(H20/D20*E20,)</f>
        <v>168</v>
      </c>
      <c r="J20" s="602"/>
      <c r="K20" s="601"/>
      <c r="L20" s="603"/>
      <c r="M20" s="449"/>
      <c r="N20" s="593">
        <v>29</v>
      </c>
      <c r="O20" s="454">
        <f t="shared" ref="O20:O30" si="6">+N20-P20-Q20-R20</f>
        <v>21</v>
      </c>
      <c r="P20" s="593">
        <v>8</v>
      </c>
      <c r="Q20" s="593">
        <v>0</v>
      </c>
      <c r="R20" s="594">
        <v>0</v>
      </c>
    </row>
    <row r="21" spans="1:18">
      <c r="A21" s="456" t="s">
        <v>1027</v>
      </c>
      <c r="B21" s="593">
        <v>20</v>
      </c>
      <c r="C21" s="593">
        <v>0</v>
      </c>
      <c r="D21" s="454">
        <f t="shared" si="2"/>
        <v>20</v>
      </c>
      <c r="E21" s="465">
        <f t="shared" si="3"/>
        <v>160</v>
      </c>
      <c r="F21" s="454">
        <f t="shared" si="0"/>
        <v>11</v>
      </c>
      <c r="G21" s="454">
        <f t="shared" si="1"/>
        <v>1</v>
      </c>
      <c r="H21" s="593">
        <f>+B21/2</f>
        <v>10</v>
      </c>
      <c r="I21" s="465">
        <f t="shared" si="5"/>
        <v>80</v>
      </c>
      <c r="J21" s="602"/>
      <c r="K21" s="601"/>
      <c r="L21" s="603"/>
      <c r="M21" s="449"/>
      <c r="N21" s="454">
        <v>31</v>
      </c>
      <c r="O21" s="454">
        <f t="shared" si="6"/>
        <v>20</v>
      </c>
      <c r="P21" s="454">
        <v>10</v>
      </c>
      <c r="Q21" s="454">
        <v>1</v>
      </c>
      <c r="R21" s="594">
        <v>0</v>
      </c>
    </row>
    <row r="22" spans="1:18">
      <c r="A22" s="456" t="s">
        <v>1028</v>
      </c>
      <c r="B22" s="593">
        <v>21</v>
      </c>
      <c r="C22" s="593">
        <v>0</v>
      </c>
      <c r="D22" s="454">
        <f t="shared" si="2"/>
        <v>21</v>
      </c>
      <c r="E22" s="465">
        <f t="shared" si="3"/>
        <v>168</v>
      </c>
      <c r="F22" s="454">
        <f t="shared" si="0"/>
        <v>9</v>
      </c>
      <c r="G22" s="454">
        <f t="shared" si="1"/>
        <v>1</v>
      </c>
      <c r="H22" s="593">
        <v>0</v>
      </c>
      <c r="I22" s="465">
        <f t="shared" si="5"/>
        <v>0</v>
      </c>
      <c r="J22" s="602"/>
      <c r="K22" s="601"/>
      <c r="L22" s="603"/>
      <c r="M22" s="449"/>
      <c r="N22" s="454">
        <v>30</v>
      </c>
      <c r="O22" s="454">
        <f t="shared" si="6"/>
        <v>21</v>
      </c>
      <c r="P22" s="454">
        <v>8</v>
      </c>
      <c r="Q22" s="454">
        <v>1</v>
      </c>
      <c r="R22" s="594">
        <v>0</v>
      </c>
    </row>
    <row r="23" spans="1:18">
      <c r="A23" s="456" t="s">
        <v>1029</v>
      </c>
      <c r="B23" s="593">
        <v>22</v>
      </c>
      <c r="C23" s="593">
        <v>0</v>
      </c>
      <c r="D23" s="454">
        <f t="shared" si="2"/>
        <v>22</v>
      </c>
      <c r="E23" s="465">
        <f t="shared" si="3"/>
        <v>176</v>
      </c>
      <c r="F23" s="454">
        <f t="shared" si="0"/>
        <v>9</v>
      </c>
      <c r="G23" s="454">
        <f t="shared" si="1"/>
        <v>1</v>
      </c>
      <c r="H23" s="593">
        <v>0</v>
      </c>
      <c r="I23" s="465">
        <f t="shared" si="5"/>
        <v>0</v>
      </c>
      <c r="J23" s="602"/>
      <c r="K23" s="601"/>
      <c r="L23" s="603"/>
      <c r="M23" s="449"/>
      <c r="N23" s="454">
        <v>31</v>
      </c>
      <c r="O23" s="454">
        <f t="shared" si="6"/>
        <v>22</v>
      </c>
      <c r="P23" s="454">
        <v>8</v>
      </c>
      <c r="Q23" s="454">
        <v>1</v>
      </c>
      <c r="R23" s="594">
        <v>0</v>
      </c>
    </row>
    <row r="24" spans="1:18">
      <c r="A24" s="456" t="s">
        <v>1030</v>
      </c>
      <c r="B24" s="593">
        <v>19</v>
      </c>
      <c r="C24" s="593">
        <v>0</v>
      </c>
      <c r="D24" s="454">
        <f t="shared" si="2"/>
        <v>19</v>
      </c>
      <c r="E24" s="465">
        <f t="shared" si="3"/>
        <v>152</v>
      </c>
      <c r="F24" s="454">
        <f t="shared" si="0"/>
        <v>11</v>
      </c>
      <c r="G24" s="454">
        <f t="shared" si="1"/>
        <v>1</v>
      </c>
      <c r="H24" s="593">
        <v>0</v>
      </c>
      <c r="I24" s="465">
        <f t="shared" si="5"/>
        <v>0</v>
      </c>
      <c r="J24" s="602"/>
      <c r="K24" s="601"/>
      <c r="L24" s="603"/>
      <c r="M24" s="449"/>
      <c r="N24" s="454">
        <v>30</v>
      </c>
      <c r="O24" s="454">
        <f t="shared" si="6"/>
        <v>19</v>
      </c>
      <c r="P24" s="454">
        <v>10</v>
      </c>
      <c r="Q24" s="454">
        <v>1</v>
      </c>
      <c r="R24" s="594">
        <v>0</v>
      </c>
    </row>
    <row r="25" spans="1:18">
      <c r="A25" s="456" t="s">
        <v>1031</v>
      </c>
      <c r="B25" s="593">
        <v>23</v>
      </c>
      <c r="C25" s="593">
        <v>0</v>
      </c>
      <c r="D25" s="454">
        <f t="shared" si="2"/>
        <v>23</v>
      </c>
      <c r="E25" s="465">
        <f t="shared" si="3"/>
        <v>184</v>
      </c>
      <c r="F25" s="454">
        <f t="shared" si="0"/>
        <v>8</v>
      </c>
      <c r="G25" s="454">
        <f t="shared" si="1"/>
        <v>0</v>
      </c>
      <c r="H25" s="593">
        <v>0</v>
      </c>
      <c r="I25" s="465">
        <f t="shared" si="5"/>
        <v>0</v>
      </c>
      <c r="J25" s="602"/>
      <c r="K25" s="601"/>
      <c r="L25" s="603"/>
      <c r="M25" s="449"/>
      <c r="N25" s="454">
        <v>31</v>
      </c>
      <c r="O25" s="454">
        <f t="shared" si="6"/>
        <v>23</v>
      </c>
      <c r="P25" s="454">
        <v>8</v>
      </c>
      <c r="Q25" s="454">
        <v>0</v>
      </c>
      <c r="R25" s="594">
        <v>0</v>
      </c>
    </row>
    <row r="26" spans="1:18">
      <c r="A26" s="456" t="s">
        <v>1032</v>
      </c>
      <c r="B26" s="593">
        <v>21</v>
      </c>
      <c r="C26" s="593">
        <v>0</v>
      </c>
      <c r="D26" s="454">
        <f t="shared" si="2"/>
        <v>21</v>
      </c>
      <c r="E26" s="465">
        <f t="shared" si="3"/>
        <v>168</v>
      </c>
      <c r="F26" s="454">
        <f t="shared" si="0"/>
        <v>10</v>
      </c>
      <c r="G26" s="454">
        <f t="shared" si="1"/>
        <v>1</v>
      </c>
      <c r="H26" s="593">
        <v>0</v>
      </c>
      <c r="I26" s="465">
        <f t="shared" si="5"/>
        <v>0</v>
      </c>
      <c r="J26" s="604"/>
      <c r="K26" s="601"/>
      <c r="L26" s="603"/>
      <c r="M26" s="449"/>
      <c r="N26" s="454">
        <v>31</v>
      </c>
      <c r="O26" s="454">
        <f t="shared" si="6"/>
        <v>21</v>
      </c>
      <c r="P26" s="454">
        <v>9</v>
      </c>
      <c r="Q26" s="454">
        <v>1</v>
      </c>
      <c r="R26" s="594">
        <v>0</v>
      </c>
    </row>
    <row r="27" spans="1:18">
      <c r="A27" s="456" t="s">
        <v>1033</v>
      </c>
      <c r="B27" s="593">
        <v>20</v>
      </c>
      <c r="C27" s="593">
        <v>0</v>
      </c>
      <c r="D27" s="454">
        <f t="shared" si="2"/>
        <v>20</v>
      </c>
      <c r="E27" s="465">
        <f t="shared" si="3"/>
        <v>160</v>
      </c>
      <c r="F27" s="454">
        <f t="shared" si="0"/>
        <v>10</v>
      </c>
      <c r="G27" s="454">
        <f t="shared" si="1"/>
        <v>1</v>
      </c>
      <c r="H27" s="593">
        <v>0</v>
      </c>
      <c r="I27" s="465">
        <f t="shared" si="5"/>
        <v>0</v>
      </c>
      <c r="J27" s="602"/>
      <c r="K27" s="601"/>
      <c r="L27" s="603"/>
      <c r="M27" s="449"/>
      <c r="N27" s="454">
        <v>30</v>
      </c>
      <c r="O27" s="454">
        <f t="shared" si="6"/>
        <v>20</v>
      </c>
      <c r="P27" s="454">
        <v>9</v>
      </c>
      <c r="Q27" s="454">
        <v>1</v>
      </c>
      <c r="R27" s="594">
        <v>0</v>
      </c>
    </row>
    <row r="28" spans="1:18">
      <c r="A28" s="456" t="s">
        <v>1034</v>
      </c>
      <c r="B28" s="593">
        <v>23</v>
      </c>
      <c r="C28" s="593">
        <v>0</v>
      </c>
      <c r="D28" s="454">
        <f t="shared" si="2"/>
        <v>23</v>
      </c>
      <c r="E28" s="465">
        <f t="shared" si="3"/>
        <v>184</v>
      </c>
      <c r="F28" s="454">
        <f t="shared" si="0"/>
        <v>8</v>
      </c>
      <c r="G28" s="454">
        <f t="shared" si="1"/>
        <v>0</v>
      </c>
      <c r="H28" s="593">
        <f>+B28/2</f>
        <v>11.5</v>
      </c>
      <c r="I28" s="465">
        <f t="shared" si="5"/>
        <v>92</v>
      </c>
      <c r="J28" s="602"/>
      <c r="K28" s="601"/>
      <c r="L28" s="603"/>
      <c r="M28" s="449"/>
      <c r="N28" s="454">
        <v>31</v>
      </c>
      <c r="O28" s="454">
        <f t="shared" si="6"/>
        <v>23</v>
      </c>
      <c r="P28" s="454">
        <v>8</v>
      </c>
      <c r="Q28" s="454">
        <v>0</v>
      </c>
      <c r="R28" s="594">
        <v>0</v>
      </c>
    </row>
    <row r="29" spans="1:18">
      <c r="A29" s="456" t="s">
        <v>1035</v>
      </c>
      <c r="B29" s="593">
        <v>20</v>
      </c>
      <c r="C29" s="593">
        <v>0</v>
      </c>
      <c r="D29" s="454">
        <f t="shared" si="2"/>
        <v>20</v>
      </c>
      <c r="E29" s="465">
        <f t="shared" si="3"/>
        <v>160</v>
      </c>
      <c r="F29" s="454">
        <f t="shared" si="0"/>
        <v>10</v>
      </c>
      <c r="G29" s="454">
        <f t="shared" si="1"/>
        <v>1</v>
      </c>
      <c r="H29" s="593">
        <f>+B29</f>
        <v>20</v>
      </c>
      <c r="I29" s="465">
        <f t="shared" si="5"/>
        <v>160</v>
      </c>
      <c r="J29" s="602"/>
      <c r="K29" s="601"/>
      <c r="L29" s="603"/>
      <c r="M29" s="449"/>
      <c r="N29" s="454">
        <v>30</v>
      </c>
      <c r="O29" s="454">
        <f t="shared" si="6"/>
        <v>20</v>
      </c>
      <c r="P29" s="454">
        <v>9</v>
      </c>
      <c r="Q29" s="454">
        <v>1</v>
      </c>
      <c r="R29" s="594">
        <v>0</v>
      </c>
    </row>
    <row r="30" spans="1:18">
      <c r="A30" s="456" t="s">
        <v>1036</v>
      </c>
      <c r="B30" s="593">
        <v>19</v>
      </c>
      <c r="C30" s="593">
        <v>0</v>
      </c>
      <c r="D30" s="454">
        <f t="shared" si="2"/>
        <v>19</v>
      </c>
      <c r="E30" s="465">
        <f t="shared" si="3"/>
        <v>152</v>
      </c>
      <c r="F30" s="454">
        <f t="shared" si="0"/>
        <v>12</v>
      </c>
      <c r="G30" s="454">
        <f t="shared" si="1"/>
        <v>3</v>
      </c>
      <c r="H30" s="593">
        <f t="shared" ref="H30" si="7">+B30</f>
        <v>19</v>
      </c>
      <c r="I30" s="465">
        <f t="shared" si="5"/>
        <v>152</v>
      </c>
      <c r="J30" s="602"/>
      <c r="K30" s="601"/>
      <c r="L30" s="603"/>
      <c r="M30" s="449"/>
      <c r="N30" s="454">
        <v>31</v>
      </c>
      <c r="O30" s="454">
        <f t="shared" si="6"/>
        <v>19</v>
      </c>
      <c r="P30" s="454">
        <v>9</v>
      </c>
      <c r="Q30" s="454">
        <v>3</v>
      </c>
      <c r="R30" s="594">
        <v>0</v>
      </c>
    </row>
    <row r="31" spans="1:18">
      <c r="A31" s="466" t="s">
        <v>94</v>
      </c>
      <c r="B31" s="467">
        <f>SUM(B19:B30)</f>
        <v>251</v>
      </c>
      <c r="C31" s="467">
        <f t="shared" ref="C31:I31" si="8">SUM(C19:C30)</f>
        <v>0</v>
      </c>
      <c r="D31" s="471">
        <f>SUM(D19:D30)</f>
        <v>251</v>
      </c>
      <c r="E31" s="468">
        <f t="shared" si="8"/>
        <v>2008</v>
      </c>
      <c r="F31" s="467">
        <f>SUM(F19:F30)</f>
        <v>115</v>
      </c>
      <c r="G31" s="467">
        <f>SUM(G19:G30)</f>
        <v>11</v>
      </c>
      <c r="H31" s="467">
        <f t="shared" si="8"/>
        <v>103.5</v>
      </c>
      <c r="I31" s="468">
        <f t="shared" si="8"/>
        <v>828</v>
      </c>
      <c r="J31" s="469"/>
      <c r="K31" s="463"/>
      <c r="L31" s="464"/>
      <c r="M31" s="449"/>
      <c r="N31" s="467">
        <f>SUM(N19:N30)</f>
        <v>366</v>
      </c>
      <c r="O31" s="471">
        <f t="shared" ref="O31:P31" si="9">SUM(O19:O30)</f>
        <v>251</v>
      </c>
      <c r="P31" s="467">
        <f t="shared" si="9"/>
        <v>104</v>
      </c>
      <c r="Q31" s="467">
        <f>SUM(Q19:Q30)</f>
        <v>11</v>
      </c>
      <c r="R31" s="476">
        <f>SUM(R19:R30)</f>
        <v>0</v>
      </c>
    </row>
  </sheetData>
  <sheetProtection sheet="1" objects="1" scenarios="1"/>
  <mergeCells count="19">
    <mergeCell ref="A8:C8"/>
    <mergeCell ref="K8:L8"/>
    <mergeCell ref="A1:L1"/>
    <mergeCell ref="A6:C6"/>
    <mergeCell ref="K6:L6"/>
    <mergeCell ref="A7:C7"/>
    <mergeCell ref="K7:L7"/>
    <mergeCell ref="A9:C9"/>
    <mergeCell ref="K9:L9"/>
    <mergeCell ref="A10:C10"/>
    <mergeCell ref="K10:L10"/>
    <mergeCell ref="A11:C11"/>
    <mergeCell ref="K11:L11"/>
    <mergeCell ref="A12:C12"/>
    <mergeCell ref="K12:L12"/>
    <mergeCell ref="A13:C13"/>
    <mergeCell ref="K13:L13"/>
    <mergeCell ref="A14:C14"/>
    <mergeCell ref="K14:L14"/>
  </mergeCells>
  <phoneticPr fontId="66" type="noConversion"/>
  <hyperlinks>
    <hyperlink ref="Q17" r:id="rId1" xr:uid="{E75D6206-2BEE-4823-BB14-795576124F20}"/>
    <hyperlink ref="Q16" r:id="rId2" xr:uid="{F6B3C5EE-7602-4BD4-9D4D-200ECCD89E53}"/>
  </hyperlinks>
  <pageMargins left="0.7" right="0.7" top="0.75" bottom="0.75" header="0.3" footer="0.3"/>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D672D-8EDC-4F70-BFEA-92B151574930}">
  <dimension ref="A1:AE61"/>
  <sheetViews>
    <sheetView zoomScale="85" zoomScaleNormal="85" workbookViewId="0">
      <selection activeCell="C9" sqref="C9"/>
    </sheetView>
  </sheetViews>
  <sheetFormatPr defaultRowHeight="14.4"/>
  <cols>
    <col min="1" max="1" width="22.5546875" customWidth="1"/>
    <col min="2" max="2" width="9.109375" bestFit="1" customWidth="1"/>
    <col min="3" max="3" width="10.77734375" bestFit="1" customWidth="1"/>
    <col min="6" max="6" width="11.6640625" customWidth="1"/>
    <col min="9" max="9" width="10.21875" customWidth="1"/>
  </cols>
  <sheetData>
    <row r="1" spans="1:10">
      <c r="A1" s="484"/>
      <c r="B1" s="484" t="s">
        <v>1062</v>
      </c>
      <c r="C1" s="484"/>
      <c r="D1" s="484"/>
      <c r="E1" s="484"/>
      <c r="F1" s="484"/>
      <c r="G1" s="484"/>
      <c r="H1" s="484"/>
      <c r="I1" s="484"/>
      <c r="J1" s="484"/>
    </row>
    <row r="3" spans="1:10">
      <c r="A3" s="484" t="s">
        <v>1064</v>
      </c>
      <c r="B3" s="484"/>
      <c r="C3" s="484"/>
      <c r="D3" s="484"/>
      <c r="E3" s="484"/>
      <c r="F3" s="484"/>
      <c r="G3" s="484"/>
      <c r="H3" s="484"/>
      <c r="I3" s="484"/>
    </row>
    <row r="4" spans="1:10" ht="15" thickBot="1">
      <c r="A4" t="s">
        <v>1065</v>
      </c>
      <c r="B4" s="127"/>
      <c r="C4" s="127"/>
      <c r="D4" s="127"/>
      <c r="E4" s="127"/>
      <c r="F4" s="127"/>
      <c r="G4" s="127"/>
      <c r="H4" s="127"/>
      <c r="I4" s="127"/>
    </row>
    <row r="5" spans="1:10" ht="15" thickBot="1">
      <c r="A5" s="2"/>
      <c r="B5" s="3"/>
      <c r="C5" s="528" t="s">
        <v>319</v>
      </c>
      <c r="D5" s="529"/>
      <c r="E5" s="529"/>
      <c r="F5" s="530"/>
      <c r="G5" s="3"/>
    </row>
    <row r="6" spans="1:10" ht="39" customHeight="1">
      <c r="A6" s="13"/>
      <c r="B6" s="208"/>
      <c r="C6" s="534"/>
      <c r="D6" s="535"/>
      <c r="E6" s="526"/>
      <c r="F6" s="527"/>
      <c r="G6" s="3"/>
    </row>
    <row r="7" spans="1:10" ht="57.6">
      <c r="A7" s="13" t="s">
        <v>328</v>
      </c>
      <c r="B7" s="208"/>
      <c r="C7" s="206" t="s">
        <v>323</v>
      </c>
      <c r="D7" s="207" t="s">
        <v>325</v>
      </c>
      <c r="E7" s="206" t="s">
        <v>324</v>
      </c>
      <c r="F7" s="207" t="s">
        <v>326</v>
      </c>
      <c r="G7" s="15" t="s">
        <v>1063</v>
      </c>
    </row>
    <row r="8" spans="1:10">
      <c r="A8" s="17" t="s">
        <v>16</v>
      </c>
      <c r="B8" s="29" t="s">
        <v>17</v>
      </c>
      <c r="C8" s="202" t="s">
        <v>18</v>
      </c>
      <c r="D8" s="203" t="s">
        <v>16</v>
      </c>
      <c r="E8" s="202" t="s">
        <v>18</v>
      </c>
      <c r="F8" s="203" t="s">
        <v>16</v>
      </c>
      <c r="G8" s="17" t="s">
        <v>43</v>
      </c>
    </row>
    <row r="9" spans="1:10">
      <c r="A9" s="17">
        <v>15</v>
      </c>
      <c r="B9" s="209" t="s">
        <v>22</v>
      </c>
      <c r="C9" s="341"/>
      <c r="D9" s="343"/>
      <c r="E9" s="341"/>
      <c r="F9" s="343"/>
      <c r="G9" s="160" cm="1">
        <f t="array" ref="G9">C9*IFERROR(VLOOKUP(A9,cost_aillament,_xlfn.IFS(D9=20,3,D9=25,4,D9=30,5,D9=35,6,D9=40,7,D9=45,8,D9=50,9,D9=55,10))*1.3,)+E9*IFERROR(VLOOKUP(A9,cost_aillament,_xlfn.IFS(F9=20,3,F9=25,4,F9=30,5,F9=35,6,F9=40,7,F9=45,8,F9=50,9,F9=55,10))*1.3,)</f>
        <v>0</v>
      </c>
      <c r="H9" s="483"/>
    </row>
    <row r="10" spans="1:10">
      <c r="A10" s="17">
        <v>22</v>
      </c>
      <c r="B10" s="210" t="s">
        <v>23</v>
      </c>
      <c r="C10" s="341"/>
      <c r="D10" s="343"/>
      <c r="E10" s="341"/>
      <c r="F10" s="343"/>
      <c r="G10" s="160" cm="1">
        <f t="array" ref="G10">C10*IFERROR(VLOOKUP(A10,cost_aillament,_xlfn.IFS(D10=20,3,D10=25,4,D10=30,5,D10=35,6,D10=40,7,D10=45,8,D10=50,9,D10=55,10))*1.3,)+E10*IFERROR(VLOOKUP(A10,cost_aillament,_xlfn.IFS(F10=20,3,F10=25,4,F10=30,5,F10=35,6,F10=40,7,F10=45,8,F10=50,9,F10=55,10))*1.3,)</f>
        <v>0</v>
      </c>
      <c r="H10" s="483"/>
    </row>
    <row r="11" spans="1:10">
      <c r="A11" s="17">
        <v>28</v>
      </c>
      <c r="B11" s="13">
        <v>1</v>
      </c>
      <c r="C11" s="341"/>
      <c r="D11" s="343"/>
      <c r="E11" s="341"/>
      <c r="F11" s="343"/>
      <c r="G11" s="160" cm="1">
        <f t="array" ref="G11">C11*IFERROR(VLOOKUP(A11,cost_aillament,_xlfn.IFS(D11=20,3,D11=25,4,D11=30,5,D11=35,6,D11=40,7,D11=45,8,D11=50,9,D11=55,10))*1.3,)+E11*IFERROR(VLOOKUP(A11,cost_aillament,_xlfn.IFS(F11=20,3,F11=25,4,F11=30,5,F11=35,6,F11=40,7,F11=45,8,F11=50,9,F11=55,10))*1.3,)</f>
        <v>0</v>
      </c>
      <c r="H11" s="483"/>
    </row>
    <row r="12" spans="1:10">
      <c r="A12" s="17">
        <v>35</v>
      </c>
      <c r="B12" s="211">
        <v>1.25</v>
      </c>
      <c r="C12" s="341"/>
      <c r="D12" s="343"/>
      <c r="E12" s="341"/>
      <c r="F12" s="343"/>
      <c r="G12" s="160" cm="1">
        <f t="array" ref="G12">C12*IFERROR(VLOOKUP(A12,cost_aillament,_xlfn.IFS(D12=20,3,D12=25,4,D12=30,5,D12=35,6,D12=40,7,D12=45,8,D12=50,9,D12=55,10))*1.3,)+E12*IFERROR(VLOOKUP(A12,cost_aillament,_xlfn.IFS(F12=20,3,F12=25,4,F12=30,5,F12=35,6,F12=40,7,F12=45,8,F12=50,9,F12=55,10))*1.3,)</f>
        <v>0</v>
      </c>
      <c r="H12" s="483"/>
    </row>
    <row r="13" spans="1:10">
      <c r="A13" s="17">
        <v>42</v>
      </c>
      <c r="B13" s="211">
        <v>1.5</v>
      </c>
      <c r="C13" s="341"/>
      <c r="D13" s="343"/>
      <c r="E13" s="341"/>
      <c r="F13" s="343"/>
      <c r="G13" s="160" cm="1">
        <f t="array" ref="G13">C13*IFERROR(VLOOKUP(A13,cost_aillament,_xlfn.IFS(D13=20,3,D13=25,4,D13=30,5,D13=35,6,D13=40,7,D13=45,8,D13=50,9,D13=55,10))*1.3,)+E13*IFERROR(VLOOKUP(A13,cost_aillament,_xlfn.IFS(F13=20,3,F13=25,4,F13=30,5,F13=35,6,F13=40,7,F13=45,8,F13=50,9,F13=55,10))*1.3,)</f>
        <v>0</v>
      </c>
      <c r="H13" s="483"/>
    </row>
    <row r="14" spans="1:10">
      <c r="A14" s="17">
        <v>48</v>
      </c>
      <c r="B14" s="13">
        <v>2</v>
      </c>
      <c r="C14" s="341"/>
      <c r="D14" s="343"/>
      <c r="E14" s="341"/>
      <c r="F14" s="343"/>
      <c r="G14" s="160" cm="1">
        <f t="array" ref="G14">C14*IFERROR(VLOOKUP(A14,cost_aillament,_xlfn.IFS(D14=20,3,D14=25,4,D14=30,5,D14=35,6,D14=40,7,D14=45,8,D14=50,9,D14=55,10))*1.3,)+E14*IFERROR(VLOOKUP(A14,cost_aillament,_xlfn.IFS(F14=20,3,F14=25,4,F14=30,5,F14=35,6,F14=40,7,F14=45,8,F14=50,9,F14=55,10))*1.3,)</f>
        <v>0</v>
      </c>
      <c r="H14" s="483"/>
    </row>
    <row r="15" spans="1:10">
      <c r="A15" s="17">
        <v>54</v>
      </c>
      <c r="B15" s="13">
        <v>2</v>
      </c>
      <c r="C15" s="341"/>
      <c r="D15" s="343"/>
      <c r="E15" s="341"/>
      <c r="F15" s="343"/>
      <c r="G15" s="160" cm="1">
        <f t="array" ref="G15">C15*IFERROR(VLOOKUP(A15,cost_aillament,_xlfn.IFS(D15=20,3,D15=25,4,D15=30,5,D15=35,6,D15=40,7,D15=45,8,D15=50,9,D15=55,10))*1.3,)+E15*IFERROR(VLOOKUP(A15,cost_aillament,_xlfn.IFS(F15=20,3,F15=25,4,F15=30,5,F15=35,6,F15=40,7,F15=45,8,F15=50,9,F15=55,10))*1.3,)</f>
        <v>0</v>
      </c>
      <c r="H15" s="483"/>
    </row>
    <row r="16" spans="1:10">
      <c r="A16" s="17">
        <v>64</v>
      </c>
      <c r="B16" s="211">
        <v>2.5</v>
      </c>
      <c r="C16" s="341"/>
      <c r="D16" s="343"/>
      <c r="E16" s="341"/>
      <c r="F16" s="343"/>
      <c r="G16" s="160" cm="1">
        <f t="array" ref="G16">C16*IFERROR(VLOOKUP(A16,cost_aillament,_xlfn.IFS(D16=20,3,D16=25,4,D16=30,5,D16=35,6,D16=40,7,D16=45,8,D16=50,9,D16=55,10))*1.3,)+E16*IFERROR(VLOOKUP(A16,cost_aillament,_xlfn.IFS(F16=20,3,F16=25,4,F16=30,5,F16=35,6,F16=40,7,F16=45,8,F16=50,9,F16=55,10))*1.3,)</f>
        <v>0</v>
      </c>
      <c r="H16" s="483"/>
    </row>
    <row r="17" spans="1:31">
      <c r="A17" s="17">
        <v>80</v>
      </c>
      <c r="B17" s="13">
        <v>3</v>
      </c>
      <c r="C17" s="341"/>
      <c r="D17" s="343"/>
      <c r="E17" s="341"/>
      <c r="F17" s="343"/>
      <c r="G17" s="160" cm="1">
        <f t="array" ref="G17">C17*IFERROR(VLOOKUP(A17,cost_aillament,_xlfn.IFS(D17=20,3,D17=25,4,D17=30,5,D17=35,6,D17=40,7,D17=45,8,D17=50,9,D17=55,10))*1.3,)+E17*IFERROR(VLOOKUP(A17,cost_aillament,_xlfn.IFS(F17=20,3,F17=25,4,F17=30,5,F17=35,6,F17=40,7,F17=45,8,F17=50,9,F17=55,10))*1.3,)</f>
        <v>0</v>
      </c>
      <c r="H17" s="483"/>
    </row>
    <row r="18" spans="1:31">
      <c r="A18" s="17">
        <v>100</v>
      </c>
      <c r="B18" s="13">
        <v>4</v>
      </c>
      <c r="C18" s="341"/>
      <c r="D18" s="343"/>
      <c r="E18" s="341"/>
      <c r="F18" s="343"/>
      <c r="G18" s="160" cm="1">
        <f t="array" ref="G18">C18*IFERROR(VLOOKUP(A18,cost_aillament,_xlfn.IFS(D18=20,3,D18=25,4,D18=30,5,D18=35,6,D18=40,7,D18=45,8,D18=50,9,D18=55,10))*1.3,)+E18*IFERROR(VLOOKUP(A18,cost_aillament,_xlfn.IFS(F18=20,3,F18=25,4,F18=30,5,F18=35,6,F18=40,7,F18=45,8,F18=50,9,F18=55,10))*1.3,)</f>
        <v>0</v>
      </c>
      <c r="H18" s="483"/>
    </row>
    <row r="19" spans="1:31" ht="15" thickBot="1">
      <c r="A19" s="11" t="s">
        <v>24</v>
      </c>
      <c r="B19" s="134"/>
      <c r="C19" s="204">
        <f>SUM(C9:C18)</f>
        <v>0</v>
      </c>
      <c r="D19" s="205"/>
      <c r="E19" s="204">
        <f>SUM(E9:E18)</f>
        <v>0</v>
      </c>
      <c r="F19" s="205"/>
      <c r="G19" s="160" t="str">
        <f>+IFERROR(H19/#REF!,"")</f>
        <v/>
      </c>
    </row>
    <row r="20" spans="1:31" ht="19.8" customHeight="1">
      <c r="A20" s="61" t="s">
        <v>1057</v>
      </c>
      <c r="B20" s="480"/>
      <c r="C20" s="481"/>
      <c r="D20" s="481"/>
      <c r="E20" s="481"/>
      <c r="F20" s="61"/>
      <c r="G20" s="485">
        <f>SUM(G9:G19)</f>
        <v>0</v>
      </c>
    </row>
    <row r="21" spans="1:31">
      <c r="A21" s="487" t="s">
        <v>1072</v>
      </c>
      <c r="B21" s="488"/>
      <c r="G21" s="489">
        <v>0</v>
      </c>
    </row>
    <row r="22" spans="1:31">
      <c r="A22" t="s">
        <v>1068</v>
      </c>
      <c r="B22" s="486">
        <v>0.13</v>
      </c>
      <c r="G22" s="483">
        <f>B22*$G$20</f>
        <v>0</v>
      </c>
    </row>
    <row r="23" spans="1:31">
      <c r="A23" t="s">
        <v>1069</v>
      </c>
      <c r="B23" s="486">
        <v>0.06</v>
      </c>
      <c r="G23" s="483">
        <f t="shared" ref="G23:G24" si="0">B23*$G$20</f>
        <v>0</v>
      </c>
    </row>
    <row r="24" spans="1:31">
      <c r="A24" t="s">
        <v>1070</v>
      </c>
      <c r="B24" s="486">
        <v>0.21</v>
      </c>
      <c r="G24" s="483">
        <f t="shared" si="0"/>
        <v>0</v>
      </c>
    </row>
    <row r="25" spans="1:31">
      <c r="A25" s="496" t="s">
        <v>1071</v>
      </c>
      <c r="B25" s="496"/>
      <c r="C25" s="496"/>
      <c r="D25" s="496"/>
      <c r="E25" s="496"/>
      <c r="F25" s="496"/>
      <c r="G25" s="497">
        <f>SUM(G20:G24)</f>
        <v>0</v>
      </c>
    </row>
    <row r="28" spans="1:31">
      <c r="A28" s="234" t="s">
        <v>1078</v>
      </c>
      <c r="B28" s="198"/>
      <c r="C28" s="198"/>
      <c r="D28" s="198"/>
      <c r="E28" s="198"/>
      <c r="F28" s="198"/>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8"/>
    </row>
    <row r="29" spans="1:31">
      <c r="A29" s="2"/>
      <c r="B29" s="3"/>
      <c r="C29" s="3"/>
      <c r="D29" s="3"/>
      <c r="E29" s="3"/>
      <c r="F29" s="3"/>
      <c r="G29" s="3"/>
      <c r="H29" s="3"/>
      <c r="I29" s="3"/>
    </row>
    <row r="30" spans="1:31">
      <c r="A30" s="25"/>
      <c r="B30" s="446" t="s">
        <v>138</v>
      </c>
      <c r="C30" s="446" t="s">
        <v>263</v>
      </c>
      <c r="D30" s="446" t="s">
        <v>94</v>
      </c>
      <c r="E30" s="9" t="s">
        <v>921</v>
      </c>
      <c r="F30" s="9"/>
      <c r="G30" s="9"/>
      <c r="H30" s="9"/>
      <c r="I30" s="10"/>
    </row>
    <row r="31" spans="1:31">
      <c r="A31" s="8" t="s">
        <v>1076</v>
      </c>
      <c r="B31" s="344">
        <v>0</v>
      </c>
      <c r="C31" s="157">
        <f>315+60+40*5</f>
        <v>575</v>
      </c>
      <c r="D31" s="157">
        <f>+B31*C31</f>
        <v>0</v>
      </c>
      <c r="E31" s="61" t="s">
        <v>1073</v>
      </c>
      <c r="F31" s="61"/>
      <c r="G31" s="61"/>
      <c r="H31" s="61"/>
      <c r="I31" s="363"/>
      <c r="J31" t="s">
        <v>443</v>
      </c>
    </row>
    <row r="32" spans="1:31">
      <c r="A32" s="8" t="s">
        <v>1075</v>
      </c>
      <c r="B32" s="344">
        <v>0</v>
      </c>
      <c r="C32" s="157">
        <f>459+100+40*6</f>
        <v>799</v>
      </c>
      <c r="D32" s="157">
        <f>+B32*C32</f>
        <v>0</v>
      </c>
      <c r="E32" s="61" t="s">
        <v>1074</v>
      </c>
      <c r="F32" s="61"/>
      <c r="G32" s="61"/>
      <c r="H32" s="61"/>
      <c r="I32" s="363"/>
      <c r="J32" t="s">
        <v>443</v>
      </c>
    </row>
    <row r="33" spans="1:22">
      <c r="A33" s="8" t="s">
        <v>945</v>
      </c>
      <c r="B33" s="344">
        <v>0</v>
      </c>
      <c r="C33" s="157">
        <f>400+60+40*4</f>
        <v>620</v>
      </c>
      <c r="D33" s="157">
        <f>+B33*C33</f>
        <v>0</v>
      </c>
      <c r="E33" s="61" t="s">
        <v>1079</v>
      </c>
      <c r="F33" s="61"/>
      <c r="G33" s="61"/>
      <c r="H33" s="61"/>
      <c r="I33" s="363"/>
      <c r="J33" t="s">
        <v>443</v>
      </c>
    </row>
    <row r="34" spans="1:22">
      <c r="A34" s="8" t="s">
        <v>1082</v>
      </c>
      <c r="B34" s="344">
        <v>0</v>
      </c>
      <c r="C34" s="157">
        <f>450+60+40*4</f>
        <v>670</v>
      </c>
      <c r="D34" s="157">
        <f>+B34*C34</f>
        <v>0</v>
      </c>
      <c r="E34" s="61" t="s">
        <v>1080</v>
      </c>
      <c r="F34" s="61"/>
      <c r="G34" s="61"/>
      <c r="H34" s="61"/>
      <c r="I34" s="363"/>
      <c r="J34" t="s">
        <v>443</v>
      </c>
    </row>
    <row r="35" spans="1:22">
      <c r="A35" s="8" t="s">
        <v>946</v>
      </c>
      <c r="B35" s="344">
        <v>0</v>
      </c>
      <c r="C35" s="157">
        <f>500+60+40*4</f>
        <v>720</v>
      </c>
      <c r="D35" s="157">
        <f t="shared" ref="D35:D38" si="1">+B35*C35</f>
        <v>0</v>
      </c>
      <c r="E35" s="61" t="s">
        <v>1079</v>
      </c>
      <c r="F35" s="3"/>
      <c r="G35" s="3"/>
      <c r="H35" s="3"/>
      <c r="I35" s="98"/>
      <c r="J35" t="s">
        <v>443</v>
      </c>
    </row>
    <row r="36" spans="1:22">
      <c r="A36" s="8" t="s">
        <v>1081</v>
      </c>
      <c r="B36" s="344">
        <v>0</v>
      </c>
      <c r="C36" s="157">
        <f>550+60+40*4</f>
        <v>770</v>
      </c>
      <c r="D36" s="157">
        <f t="shared" si="1"/>
        <v>0</v>
      </c>
      <c r="E36" s="61" t="s">
        <v>1079</v>
      </c>
      <c r="F36" s="61"/>
      <c r="G36" s="61"/>
      <c r="H36" s="61"/>
      <c r="I36" s="363"/>
      <c r="J36" t="s">
        <v>443</v>
      </c>
    </row>
    <row r="37" spans="1:22">
      <c r="A37" s="493"/>
      <c r="B37" s="490"/>
      <c r="C37" s="491">
        <v>0</v>
      </c>
      <c r="D37" s="157">
        <f t="shared" si="1"/>
        <v>0</v>
      </c>
      <c r="E37" s="492"/>
      <c r="F37" s="492"/>
      <c r="G37" s="492"/>
      <c r="H37" s="492"/>
      <c r="I37" s="494"/>
    </row>
    <row r="38" spans="1:22">
      <c r="A38" s="493"/>
      <c r="B38" s="490"/>
      <c r="C38" s="491">
        <v>0</v>
      </c>
      <c r="D38" s="157">
        <f t="shared" si="1"/>
        <v>0</v>
      </c>
      <c r="E38" s="492"/>
      <c r="F38" s="492"/>
      <c r="G38" s="492"/>
      <c r="H38" s="492"/>
      <c r="I38" s="494"/>
    </row>
    <row r="39" spans="1:22" ht="25.2" customHeight="1">
      <c r="A39" s="53" t="s">
        <v>1077</v>
      </c>
      <c r="B39" s="53"/>
      <c r="C39" s="53"/>
      <c r="D39" s="495">
        <f>SUM(D31:D38)</f>
        <v>0</v>
      </c>
      <c r="E39" s="3"/>
      <c r="F39" s="3"/>
      <c r="G39" s="3"/>
      <c r="H39" s="3"/>
      <c r="I39" s="3"/>
    </row>
    <row r="40" spans="1:22">
      <c r="A40" t="s">
        <v>1068</v>
      </c>
      <c r="B40" s="486">
        <v>0.13</v>
      </c>
      <c r="D40" s="483">
        <f>B40*$D$39</f>
        <v>0</v>
      </c>
    </row>
    <row r="41" spans="1:22">
      <c r="A41" t="s">
        <v>1069</v>
      </c>
      <c r="B41" s="486">
        <v>0.06</v>
      </c>
      <c r="D41" s="483">
        <f t="shared" ref="D41:D42" si="2">B41*$D$39</f>
        <v>0</v>
      </c>
    </row>
    <row r="42" spans="1:22">
      <c r="A42" t="s">
        <v>1070</v>
      </c>
      <c r="B42" s="486">
        <v>0.21</v>
      </c>
      <c r="D42" s="483">
        <f t="shared" si="2"/>
        <v>0</v>
      </c>
    </row>
    <row r="43" spans="1:22">
      <c r="A43" s="496" t="s">
        <v>1071</v>
      </c>
      <c r="B43" s="496"/>
      <c r="C43" s="496"/>
      <c r="D43" s="497">
        <f>SUM(D39:D42)</f>
        <v>0</v>
      </c>
    </row>
    <row r="46" spans="1:22">
      <c r="A46" s="234" t="s">
        <v>1083</v>
      </c>
      <c r="B46" s="198"/>
      <c r="C46" s="198"/>
      <c r="D46" s="198"/>
      <c r="E46" s="198"/>
      <c r="F46" s="198"/>
      <c r="G46" s="198"/>
      <c r="H46" s="198"/>
      <c r="I46" s="198"/>
      <c r="J46" s="198"/>
      <c r="K46" s="198"/>
      <c r="L46" s="198"/>
      <c r="M46" s="198"/>
      <c r="N46" s="198"/>
      <c r="O46" s="198"/>
      <c r="P46" s="198"/>
      <c r="Q46" s="198"/>
      <c r="R46" s="198"/>
      <c r="S46" s="198"/>
      <c r="T46" s="198"/>
      <c r="U46" s="198"/>
      <c r="V46" s="198"/>
    </row>
    <row r="47" spans="1:22">
      <c r="A47" s="2"/>
      <c r="B47" s="3"/>
      <c r="C47" s="3"/>
      <c r="D47" s="3"/>
      <c r="E47" s="3"/>
      <c r="F47" s="3"/>
      <c r="G47" s="3"/>
      <c r="H47" s="3"/>
      <c r="I47" s="3"/>
    </row>
    <row r="48" spans="1:22">
      <c r="A48" s="25"/>
      <c r="B48" s="446" t="s">
        <v>138</v>
      </c>
      <c r="C48" s="446" t="s">
        <v>263</v>
      </c>
      <c r="D48" s="446" t="s">
        <v>94</v>
      </c>
      <c r="E48" s="9" t="s">
        <v>921</v>
      </c>
      <c r="F48" s="9"/>
      <c r="G48" s="9"/>
      <c r="H48" s="9"/>
      <c r="I48" s="10"/>
    </row>
    <row r="49" spans="1:10">
      <c r="A49" s="8" t="s">
        <v>1084</v>
      </c>
      <c r="B49" s="344">
        <v>0</v>
      </c>
      <c r="C49" s="157">
        <v>1198</v>
      </c>
      <c r="D49" s="157">
        <f>+B49*C49</f>
        <v>0</v>
      </c>
      <c r="E49" s="61" t="s">
        <v>1091</v>
      </c>
      <c r="F49" s="61"/>
      <c r="G49" s="61"/>
      <c r="H49" s="61"/>
      <c r="I49" s="363"/>
      <c r="J49" t="s">
        <v>443</v>
      </c>
    </row>
    <row r="50" spans="1:10">
      <c r="A50" s="8" t="s">
        <v>1085</v>
      </c>
      <c r="B50" s="344">
        <v>0</v>
      </c>
      <c r="C50" s="157">
        <v>1624</v>
      </c>
      <c r="D50" s="157">
        <f>+B50*C50</f>
        <v>0</v>
      </c>
      <c r="E50" s="61" t="s">
        <v>1091</v>
      </c>
      <c r="F50" s="61"/>
      <c r="G50" s="61"/>
      <c r="H50" s="61"/>
      <c r="I50" s="363"/>
      <c r="J50" t="s">
        <v>443</v>
      </c>
    </row>
    <row r="51" spans="1:10">
      <c r="A51" s="8" t="s">
        <v>1086</v>
      </c>
      <c r="B51" s="344">
        <v>0</v>
      </c>
      <c r="C51" s="157">
        <v>2144</v>
      </c>
      <c r="D51" s="157">
        <f>+B51*C51</f>
        <v>0</v>
      </c>
      <c r="E51" s="61" t="s">
        <v>1091</v>
      </c>
      <c r="F51" s="61"/>
      <c r="G51" s="61"/>
      <c r="H51" s="61"/>
      <c r="I51" s="363"/>
      <c r="J51" t="s">
        <v>443</v>
      </c>
    </row>
    <row r="52" spans="1:10">
      <c r="A52" s="8" t="s">
        <v>1087</v>
      </c>
      <c r="B52" s="344">
        <v>0</v>
      </c>
      <c r="C52" s="157">
        <v>2854</v>
      </c>
      <c r="D52" s="157">
        <f>+B52*C52</f>
        <v>0</v>
      </c>
      <c r="E52" s="61" t="s">
        <v>1091</v>
      </c>
      <c r="F52" s="61"/>
      <c r="G52" s="61"/>
      <c r="H52" s="61"/>
      <c r="I52" s="363"/>
      <c r="J52" t="s">
        <v>443</v>
      </c>
    </row>
    <row r="53" spans="1:10">
      <c r="A53" s="8" t="s">
        <v>1088</v>
      </c>
      <c r="B53" s="344">
        <v>0</v>
      </c>
      <c r="C53" s="157">
        <v>3005</v>
      </c>
      <c r="D53" s="157">
        <f t="shared" ref="D53:D56" si="3">+B53*C53</f>
        <v>0</v>
      </c>
      <c r="E53" s="61" t="s">
        <v>1091</v>
      </c>
      <c r="F53" s="61"/>
      <c r="G53" s="61"/>
      <c r="H53" s="61"/>
      <c r="I53" s="363"/>
      <c r="J53" t="s">
        <v>443</v>
      </c>
    </row>
    <row r="54" spans="1:10">
      <c r="A54" s="8" t="s">
        <v>1089</v>
      </c>
      <c r="B54" s="344">
        <v>0</v>
      </c>
      <c r="C54" s="157">
        <v>4352</v>
      </c>
      <c r="D54" s="157">
        <f t="shared" si="3"/>
        <v>0</v>
      </c>
      <c r="E54" s="61" t="s">
        <v>1091</v>
      </c>
      <c r="F54" s="61"/>
      <c r="G54" s="61"/>
      <c r="H54" s="61"/>
      <c r="I54" s="363"/>
      <c r="J54" t="s">
        <v>443</v>
      </c>
    </row>
    <row r="55" spans="1:10">
      <c r="A55" s="8" t="s">
        <v>1090</v>
      </c>
      <c r="B55" s="344">
        <v>0</v>
      </c>
      <c r="C55" s="157">
        <v>5224</v>
      </c>
      <c r="D55" s="157">
        <f t="shared" si="3"/>
        <v>0</v>
      </c>
      <c r="E55" s="61" t="s">
        <v>1092</v>
      </c>
      <c r="F55" s="61"/>
      <c r="G55" s="61"/>
      <c r="H55" s="61"/>
      <c r="I55" s="363"/>
      <c r="J55" t="s">
        <v>443</v>
      </c>
    </row>
    <row r="56" spans="1:10">
      <c r="A56" s="493"/>
      <c r="B56" s="490">
        <v>0</v>
      </c>
      <c r="C56" s="491">
        <v>0</v>
      </c>
      <c r="D56" s="157">
        <f t="shared" si="3"/>
        <v>0</v>
      </c>
      <c r="E56" s="492"/>
      <c r="F56" s="492"/>
      <c r="G56" s="492"/>
      <c r="H56" s="492"/>
      <c r="I56" s="494"/>
    </row>
    <row r="57" spans="1:10" ht="25.2" customHeight="1">
      <c r="A57" s="53" t="s">
        <v>1077</v>
      </c>
      <c r="B57" s="53"/>
      <c r="C57" s="53"/>
      <c r="D57" s="495">
        <f>SUM(D49:D56)</f>
        <v>0</v>
      </c>
      <c r="E57" s="3"/>
      <c r="F57" s="3"/>
      <c r="G57" s="3"/>
      <c r="H57" s="3"/>
      <c r="I57" s="3"/>
    </row>
    <row r="58" spans="1:10">
      <c r="A58" t="s">
        <v>1068</v>
      </c>
      <c r="B58" s="486">
        <v>0.13</v>
      </c>
      <c r="D58" s="483">
        <f>B58*$D$39</f>
        <v>0</v>
      </c>
    </row>
    <row r="59" spans="1:10">
      <c r="A59" t="s">
        <v>1069</v>
      </c>
      <c r="B59" s="486">
        <v>0.06</v>
      </c>
      <c r="D59" s="483">
        <f t="shared" ref="D59:D60" si="4">B59*$D$39</f>
        <v>0</v>
      </c>
    </row>
    <row r="60" spans="1:10">
      <c r="A60" t="s">
        <v>1070</v>
      </c>
      <c r="B60" s="486">
        <v>0.21</v>
      </c>
      <c r="D60" s="483">
        <f t="shared" si="4"/>
        <v>0</v>
      </c>
    </row>
    <row r="61" spans="1:10">
      <c r="A61" s="496" t="s">
        <v>1071</v>
      </c>
      <c r="B61" s="496"/>
      <c r="C61" s="496"/>
      <c r="D61" s="497">
        <f>SUM(D57:D60)</f>
        <v>0</v>
      </c>
    </row>
  </sheetData>
  <sheetProtection sheet="1" objects="1" scenarios="1"/>
  <mergeCells count="3">
    <mergeCell ref="C5:F5"/>
    <mergeCell ref="C6:D6"/>
    <mergeCell ref="E6:F6"/>
  </mergeCells>
  <pageMargins left="0.7" right="0.7" top="0.75" bottom="0.75" header="0.3" footer="0.3"/>
  <drawing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A5A77C5-4930-4B72-9B92-3CFCB333AAAA}">
          <x14:formula1>
            <xm:f>perdues_xarxa!$C$27:$J$27</xm:f>
          </x14:formula1>
          <xm:sqref>F9:F18 D9:D18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9A48A-C542-40BA-B231-B01A11ACF95A}">
  <sheetPr codeName="Full13"/>
  <dimension ref="A1:H10"/>
  <sheetViews>
    <sheetView workbookViewId="0">
      <selection activeCell="E3" sqref="E3"/>
    </sheetView>
  </sheetViews>
  <sheetFormatPr defaultRowHeight="14.4"/>
  <cols>
    <col min="1" max="4" width="8.88671875" style="3"/>
    <col min="5" max="5" width="11.77734375" style="3" customWidth="1"/>
    <col min="6" max="6" width="62.88671875" style="3" bestFit="1" customWidth="1"/>
    <col min="7" max="7" width="8.88671875" style="3"/>
    <col min="8" max="8" width="17.77734375" style="3" bestFit="1" customWidth="1"/>
    <col min="9" max="16384" width="8.88671875" style="3"/>
  </cols>
  <sheetData>
    <row r="1" spans="1:8">
      <c r="A1" s="113" t="s">
        <v>53</v>
      </c>
      <c r="B1" s="114"/>
      <c r="C1" s="114"/>
      <c r="D1" s="115"/>
      <c r="E1" s="113" t="s">
        <v>54</v>
      </c>
      <c r="F1" s="115"/>
      <c r="G1" s="3" t="s">
        <v>443</v>
      </c>
      <c r="H1" s="354" t="s">
        <v>350</v>
      </c>
    </row>
    <row r="2" spans="1:8">
      <c r="A2" s="116"/>
      <c r="B2" s="117" t="s">
        <v>4</v>
      </c>
      <c r="C2" s="117" t="s">
        <v>55</v>
      </c>
      <c r="D2" s="118" t="s">
        <v>56</v>
      </c>
      <c r="E2" s="119" t="s">
        <v>57</v>
      </c>
      <c r="F2" s="118" t="s">
        <v>56</v>
      </c>
      <c r="G2" s="3" t="s">
        <v>443</v>
      </c>
      <c r="H2" s="355" t="s">
        <v>356</v>
      </c>
    </row>
    <row r="3" spans="1:8">
      <c r="A3" s="120" t="s">
        <v>144</v>
      </c>
      <c r="B3" s="121">
        <f t="shared" ref="B3:B10" si="0">+C3/1.21</f>
        <v>0.15289256198347106</v>
      </c>
      <c r="C3" s="609">
        <v>0.185</v>
      </c>
      <c r="D3" s="122" t="s">
        <v>60</v>
      </c>
      <c r="E3" s="607">
        <v>0.26</v>
      </c>
      <c r="F3" s="122" t="s">
        <v>61</v>
      </c>
      <c r="G3" s="3" t="s">
        <v>443</v>
      </c>
      <c r="H3" s="355" t="s">
        <v>415</v>
      </c>
    </row>
    <row r="4" spans="1:8">
      <c r="A4" s="120" t="s">
        <v>145</v>
      </c>
      <c r="B4" s="121">
        <f t="shared" si="0"/>
        <v>7.8512396694214878E-2</v>
      </c>
      <c r="C4" s="609">
        <v>9.5000000000000001E-2</v>
      </c>
      <c r="D4" s="122" t="s">
        <v>58</v>
      </c>
      <c r="E4" s="123">
        <v>0.252</v>
      </c>
      <c r="F4" s="122" t="s">
        <v>59</v>
      </c>
      <c r="G4" s="3" t="s">
        <v>443</v>
      </c>
      <c r="H4" s="355" t="s">
        <v>351</v>
      </c>
    </row>
    <row r="5" spans="1:8">
      <c r="A5" s="120" t="s">
        <v>146</v>
      </c>
      <c r="B5" s="121">
        <f t="shared" si="0"/>
        <v>9.173553719008265E-2</v>
      </c>
      <c r="C5" s="609">
        <v>0.111</v>
      </c>
      <c r="D5" s="122" t="s">
        <v>62</v>
      </c>
      <c r="E5" s="123">
        <v>0.311</v>
      </c>
      <c r="F5" s="122" t="s">
        <v>63</v>
      </c>
      <c r="G5" s="3" t="s">
        <v>443</v>
      </c>
      <c r="H5" s="355" t="s">
        <v>401</v>
      </c>
    </row>
    <row r="6" spans="1:8">
      <c r="A6" s="120" t="s">
        <v>147</v>
      </c>
      <c r="B6" s="121">
        <f t="shared" si="0"/>
        <v>0.13305785123966943</v>
      </c>
      <c r="C6" s="609">
        <v>0.161</v>
      </c>
      <c r="D6" s="122" t="s">
        <v>148</v>
      </c>
      <c r="E6" s="123">
        <v>0.254</v>
      </c>
      <c r="F6" s="122" t="s">
        <v>149</v>
      </c>
      <c r="G6" s="3" t="s">
        <v>443</v>
      </c>
      <c r="H6" s="355"/>
    </row>
    <row r="7" spans="1:8">
      <c r="A7" s="120" t="s">
        <v>922</v>
      </c>
      <c r="B7" s="121">
        <f t="shared" si="0"/>
        <v>2.644628099173554E-2</v>
      </c>
      <c r="C7" s="609">
        <v>3.2000000000000001E-2</v>
      </c>
      <c r="D7" s="122" t="s">
        <v>151</v>
      </c>
      <c r="E7" s="123">
        <v>1.7999999999999999E-2</v>
      </c>
      <c r="F7" s="122" t="s">
        <v>59</v>
      </c>
      <c r="G7" s="3" t="s">
        <v>443</v>
      </c>
      <c r="H7" s="355"/>
    </row>
    <row r="8" spans="1:8">
      <c r="A8" s="120" t="s">
        <v>152</v>
      </c>
      <c r="B8" s="121">
        <f t="shared" si="0"/>
        <v>4.9586776859504134E-2</v>
      </c>
      <c r="C8" s="609">
        <v>0.06</v>
      </c>
      <c r="D8" s="122"/>
      <c r="E8" s="123">
        <v>1.7999999999999999E-2</v>
      </c>
      <c r="F8" s="122" t="s">
        <v>59</v>
      </c>
      <c r="G8" s="3" t="s">
        <v>443</v>
      </c>
      <c r="H8" s="355"/>
    </row>
    <row r="9" spans="1:8">
      <c r="A9" s="606" t="s">
        <v>948</v>
      </c>
      <c r="B9" s="121">
        <f t="shared" ref="B9" si="1">+C9/1.21</f>
        <v>0</v>
      </c>
      <c r="C9" s="609">
        <v>0</v>
      </c>
      <c r="D9" s="122" t="s">
        <v>64</v>
      </c>
      <c r="E9" s="607">
        <f>+(E3+E7)/2</f>
        <v>0.13900000000000001</v>
      </c>
      <c r="F9" s="122" t="s">
        <v>930</v>
      </c>
      <c r="G9" s="3" t="s">
        <v>443</v>
      </c>
      <c r="H9" s="608" t="s">
        <v>947</v>
      </c>
    </row>
    <row r="10" spans="1:8">
      <c r="A10" s="606" t="s">
        <v>943</v>
      </c>
      <c r="B10" s="121">
        <f t="shared" si="0"/>
        <v>0</v>
      </c>
      <c r="C10" s="609">
        <v>0</v>
      </c>
      <c r="D10" s="122" t="s">
        <v>64</v>
      </c>
      <c r="E10" s="607">
        <f>+(E5+E7)/2</f>
        <v>0.16450000000000001</v>
      </c>
      <c r="F10" s="122" t="s">
        <v>930</v>
      </c>
      <c r="G10" s="3" t="s">
        <v>443</v>
      </c>
      <c r="H10" s="608" t="s">
        <v>944</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Q D A A B Q S w M E F A A C A A g A l X s Z W 6 1 c 9 b e k A A A A 9 w A A A B I A H A B D b 2 5 m a W c v U G F j a 2 F n Z S 5 4 b W w g o h g A K K A U A A A A A A A A A A A A A A A A A A A A A A A A A A A A h U 8 9 D o I w G L 0 K 6 U 5 b K o M h H 2 U w b p K Y k B j X p l R o g G J o s d z N w S N 5 B T G K u j m 8 4 f 0 l 7 9 2 v N 8 i m r g 0 u a r C 6 N y m K M E W B M r I v t a l S N L p T u E Y Z h 7 2 Q j a h U M I e N T S a r U 1 Q 7 d 0 4 I 8 d 5 j v 8 L 9 U B F G a U S O + a 6 Q t e p E q I 1 1 w k i F P q 3 y f w t x O L z G c I a j O J 5 B G a Z A F h V y b b 4 J N g 9 + u j 8 i b M b W j Y P i U o T b A s h C g b x P 8 A d Q S w M E F A A C A A g A l X s Z 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7 G V s o i k e 4 D g A A A B E A A A A T A B w A R m 9 y b X V s Y X M v U 2 V j d G l v b j E u b S C i G A A o o B Q A A A A A A A A A A A A A A A A A A A A A A A A A A A A r T k 0 u y c z P U w i G 0 I b W A F B L A Q I t A B Q A A g A I A J V 7 G V u t X P W 3 p A A A A P c A A A A S A A A A A A A A A A A A A A A A A A A A A A B D b 2 5 m a W c v U G F j a 2 F n Z S 5 4 b W x Q S w E C L Q A U A A I A C A C V e x l b D 8 r p q 6 Q A A A D p A A A A E w A A A A A A A A A A A A A A A A D w A A A A W 0 N v b n R l b n R f V H l w Z X N d L n h t b F B L A Q I t A B Q A A g A I A J V 7 G V s 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e + I E 5 5 u i g T 6 e r 9 x y / e T w / A A A A A A I A A A A A A A N m A A D A A A A A E A A A A K h l 8 p y y I p 8 8 2 a E v s Q e X f + 8 A A A A A B I A A A K A A A A A Q A A A A 5 M a H j A + g N q j D Z U k t X 9 o 8 g 1 A A A A D T Q j W G R O Z Z l X w u a b g A H u 1 m b W X b n 8 8 b C 8 j i T K H i N 3 P A V o d + B 4 9 O E G R P z M M Z m + O / v 1 F k E n I a u n l K U t S X 3 V W O L 4 T y m m Q R w d l 2 9 K A z 1 L P k R I X D x B Q A A A C h D 1 i o v F d 1 t B E z n Q R m W x M r i d 3 Q S g = = < / D a t a M a s h u p > 
</file>

<file path=customXml/item3.xml><?xml version="1.0" encoding="utf-8"?>
<ct:contentTypeSchema xmlns:ct="http://schemas.microsoft.com/office/2006/metadata/contentType" xmlns:ma="http://schemas.microsoft.com/office/2006/metadata/properties/metaAttributes" ct:_="" ma:_="" ma:contentTypeName="Document" ma:contentTypeID="0x01010082C2467D1E81B9468EB9CF22B909F0B9" ma:contentTypeVersion="17" ma:contentTypeDescription="Crea un document nou" ma:contentTypeScope="" ma:versionID="a7d290eb571a90c5b876f80bb6b0b175">
  <xsd:schema xmlns:xsd="http://www.w3.org/2001/XMLSchema" xmlns:xs="http://www.w3.org/2001/XMLSchema" xmlns:p="http://schemas.microsoft.com/office/2006/metadata/properties" xmlns:ns2="9258ea91-e474-421c-9882-8fd427e71040" xmlns:ns3="3c4822fc-b4b9-4f22-acb2-eb3bd80a0817" targetNamespace="http://schemas.microsoft.com/office/2006/metadata/properties" ma:root="true" ma:fieldsID="6d6a33c2e1586d13b56ddc1f30e08c63" ns2:_="" ns3:_="">
    <xsd:import namespace="9258ea91-e474-421c-9882-8fd427e71040"/>
    <xsd:import namespace="3c4822fc-b4b9-4f22-acb2-eb3bd80a081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58ea91-e474-421c-9882-8fd427e710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es de la imatge" ma:readOnly="false" ma:fieldId="{5cf76f15-5ced-4ddc-b409-7134ff3c332f}" ma:taxonomyMulti="true" ma:sspId="50028fe1-31b5-4904-8097-8e5e2258eb0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4822fc-b4b9-4f22-acb2-eb3bd80a0817" elementFormDefault="qualified">
    <xsd:import namespace="http://schemas.microsoft.com/office/2006/documentManagement/types"/>
    <xsd:import namespace="http://schemas.microsoft.com/office/infopath/2007/PartnerControls"/>
    <xsd:element name="SharedWithUsers" ma:index="17"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 compartit amb detalls" ma:internalName="SharedWithDetails" ma:readOnly="true">
      <xsd:simpleType>
        <xsd:restriction base="dms:Note">
          <xsd:maxLength value="255"/>
        </xsd:restriction>
      </xsd:simpleType>
    </xsd:element>
    <xsd:element name="TaxCatchAll" ma:index="21" nillable="true" ma:displayName="Taxonomy Catch All Column" ma:hidden="true" ma:list="{bae4c086-9d3d-4391-b666-7d30af676e0a}" ma:internalName="TaxCatchAll" ma:showField="CatchAllData" ma:web="3c4822fc-b4b9-4f22-acb2-eb3bd80a08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3c4822fc-b4b9-4f22-acb2-eb3bd80a0817" xsi:nil="true"/>
    <lcf76f155ced4ddcb4097134ff3c332f xmlns="9258ea91-e474-421c-9882-8fd427e7104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A9A6384-77CF-47FB-89F6-EB5C097D9449}">
  <ds:schemaRefs>
    <ds:schemaRef ds:uri="http://schemas.microsoft.com/sharepoint/v3/contenttype/forms"/>
  </ds:schemaRefs>
</ds:datastoreItem>
</file>

<file path=customXml/itemProps2.xml><?xml version="1.0" encoding="utf-8"?>
<ds:datastoreItem xmlns:ds="http://schemas.openxmlformats.org/officeDocument/2006/customXml" ds:itemID="{6725F52F-E64B-459C-AED4-EF0164961EAC}">
  <ds:schemaRefs>
    <ds:schemaRef ds:uri="http://schemas.microsoft.com/DataMashup"/>
  </ds:schemaRefs>
</ds:datastoreItem>
</file>

<file path=customXml/itemProps3.xml><?xml version="1.0" encoding="utf-8"?>
<ds:datastoreItem xmlns:ds="http://schemas.openxmlformats.org/officeDocument/2006/customXml" ds:itemID="{9044BB78-0A78-47A9-A69A-5B083958A6BE}"/>
</file>

<file path=customXml/itemProps4.xml><?xml version="1.0" encoding="utf-8"?>
<ds:datastoreItem xmlns:ds="http://schemas.openxmlformats.org/officeDocument/2006/customXml" ds:itemID="{67D6CACE-5E44-44B8-844A-0CEC448A42DB}">
  <ds:schemaRefs>
    <ds:schemaRef ds:uri="http://schemas.microsoft.com/office/2006/documentManagement/types"/>
    <ds:schemaRef ds:uri="http://schemas.microsoft.com/office/2006/metadata/properties"/>
    <ds:schemaRef ds:uri="http://purl.org/dc/elements/1.1/"/>
    <ds:schemaRef ds:uri="3c4822fc-b4b9-4f22-acb2-eb3bd80a0817"/>
    <ds:schemaRef ds:uri="http://schemas.microsoft.com/office/infopath/2007/PartnerControls"/>
    <ds:schemaRef ds:uri="http://www.w3.org/XML/1998/namespace"/>
    <ds:schemaRef ds:uri="http://purl.org/dc/terms/"/>
    <ds:schemaRef ds:uri="http://schemas.openxmlformats.org/package/2006/metadata/core-properties"/>
    <ds:schemaRef ds:uri="9258ea91-e474-421c-9882-8fd427e71040"/>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16</vt:i4>
      </vt:variant>
      <vt:variant>
        <vt:lpstr>Intervals amb nom</vt:lpstr>
      </vt:variant>
      <vt:variant>
        <vt:i4>16</vt:i4>
      </vt:variant>
    </vt:vector>
  </HeadingPairs>
  <TitlesOfParts>
    <vt:vector size="32" baseType="lpstr">
      <vt:lpstr>portada</vt:lpstr>
      <vt:lpstr>Instruccions</vt:lpstr>
      <vt:lpstr>DADES_ACTUAL</vt:lpstr>
      <vt:lpstr>DADES_ALTER</vt:lpstr>
      <vt:lpstr>RESULTATS</vt:lpstr>
      <vt:lpstr>eina_rendiments</vt:lpstr>
      <vt:lpstr>eina_perfil_us</vt:lpstr>
      <vt:lpstr>eina_costos</vt:lpstr>
      <vt:lpstr>desplegables</vt:lpstr>
      <vt:lpstr>CALCULS_ACTUAL</vt:lpstr>
      <vt:lpstr>CALCUL_ALTER</vt:lpstr>
      <vt:lpstr>perdues_diposit</vt:lpstr>
      <vt:lpstr>perdues_xarxa</vt:lpstr>
      <vt:lpstr>partides aïllament</vt:lpstr>
      <vt:lpstr>millores</vt:lpstr>
      <vt:lpstr>municipis</vt:lpstr>
      <vt:lpstr>CALCUL_ALTER!Àrea_d'impressió</vt:lpstr>
      <vt:lpstr>CALCULS_ACTUAL!Àrea_d'impressió</vt:lpstr>
      <vt:lpstr>DADES_ACTUAL!Àrea_d'impressió</vt:lpstr>
      <vt:lpstr>DADES_ALTER!Àrea_d'impressió</vt:lpstr>
      <vt:lpstr>eina_rendiments!Àrea_d'impressió</vt:lpstr>
      <vt:lpstr>RESULTATS!Àrea_d'impressió</vt:lpstr>
      <vt:lpstr>CO2_combus</vt:lpstr>
      <vt:lpstr>CO2_elec</vt:lpstr>
      <vt:lpstr>cost_aillament</vt:lpstr>
      <vt:lpstr>municipis</vt:lpstr>
      <vt:lpstr>municipis_BCN</vt:lpstr>
      <vt:lpstr>perdues_amb_aillament</vt:lpstr>
      <vt:lpstr>perdues_diposit</vt:lpstr>
      <vt:lpstr>perdues_sense_aillar</vt:lpstr>
      <vt:lpstr>perdues_diposit!Títols_per_imprimir</vt:lpstr>
      <vt:lpstr>perdues_xarxa!Títols_per_imprimir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FORTUNY, RAMON</dc:creator>
  <cp:lastModifiedBy>GARCIA FORTUNY, RAMON</cp:lastModifiedBy>
  <cp:lastPrinted>2025-08-25T10:01:19Z</cp:lastPrinted>
  <dcterms:created xsi:type="dcterms:W3CDTF">2024-09-13T13:23:19Z</dcterms:created>
  <dcterms:modified xsi:type="dcterms:W3CDTF">2026-05-05T13:15:28Z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0x01010082C2467D1E81B9468EB9CF22B909F0B9</vt:lpwstr>
  </property>
  <property fmtid="{D5CDD505-2E9C-101B-9397-08002B2CF9AE}" pid="3" name="MediaServiceImageTags">
    <vt:lpwstr/>
  </property>
</Properties>
</file>