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dibacat.sharepoint.com/sites/msteams_729e94/Documentos compartidos/General/EINES EXCEL/00-LLESTES PER PUJAR WEB/"/>
    </mc:Choice>
  </mc:AlternateContent>
  <xr:revisionPtr revIDLastSave="0" documentId="8_{E9B320BF-395D-4BC4-9432-1EE3EA9CCCDB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portada" sheetId="6" r:id="rId1"/>
    <sheet name="Introducció consums" sheetId="1" r:id="rId2"/>
    <sheet name="Introducció criteris" sheetId="7" r:id="rId3"/>
    <sheet name="Resultats - Escenari 1" sheetId="3" r:id="rId4"/>
    <sheet name="Resultats - Escenari 2" sheetId="12" r:id="rId5"/>
    <sheet name="Resultats - Escenari 3" sheetId="13" r:id="rId6"/>
    <sheet name="Resultats - Escenari 4" sheetId="14" r:id="rId7"/>
    <sheet name="Resum de resultats" sheetId="5" r:id="rId8"/>
    <sheet name="Validació de dades" sheetId="8" state="hidden" r:id="rId9"/>
  </sheets>
  <definedNames>
    <definedName name="CONSUM_TOTAL" localSheetId="4">Taula2[[#All],[CONSUM TOTAL]]</definedName>
    <definedName name="CONSUM_TOTAL" localSheetId="5">Taula2[[#All],[CONSUM TOTAL]]</definedName>
    <definedName name="CONSUM_TOTAL" localSheetId="6">Taula2[[#All],[CONSUM TOTAL]]</definedName>
    <definedName name="CONSUM_TOTAL">Taula2[[#All],[CONSUM TOTAL]]</definedName>
    <definedName name="PREU_COMPENS">'Introducció criteris'!$E$27</definedName>
    <definedName name="PREU_COMPRA">'Introducció criteris'!$E$25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4" l="1"/>
  <c r="A2" i="13"/>
  <c r="A2" i="12"/>
  <c r="A2" i="3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P47" i="1"/>
  <c r="J47" i="12" s="1"/>
  <c r="P48" i="1"/>
  <c r="D48" i="14" s="1"/>
  <c r="P49" i="1"/>
  <c r="P50" i="1"/>
  <c r="P51" i="1"/>
  <c r="P52" i="1"/>
  <c r="D52" i="14" s="1"/>
  <c r="P53" i="1"/>
  <c r="D53" i="13" s="1"/>
  <c r="P5" i="1"/>
  <c r="D5" i="14" s="1"/>
  <c r="G5" i="14" s="1"/>
  <c r="J5" i="14" s="1"/>
  <c r="P6" i="1"/>
  <c r="D6" i="14" s="1"/>
  <c r="G6" i="14" s="1"/>
  <c r="J6" i="14" s="1"/>
  <c r="P7" i="1"/>
  <c r="D7" i="14" s="1"/>
  <c r="G7" i="14" s="1"/>
  <c r="J7" i="14" s="1"/>
  <c r="P8" i="1"/>
  <c r="D8" i="14" s="1"/>
  <c r="G8" i="14" s="1"/>
  <c r="J8" i="14" s="1"/>
  <c r="P9" i="1"/>
  <c r="D9" i="13" s="1"/>
  <c r="P10" i="1"/>
  <c r="D10" i="13" s="1"/>
  <c r="P11" i="1"/>
  <c r="D11" i="13" s="1"/>
  <c r="G11" i="13" s="1"/>
  <c r="P12" i="1"/>
  <c r="D12" i="3" s="1"/>
  <c r="P13" i="1"/>
  <c r="D13" i="3" s="1"/>
  <c r="G13" i="3" s="1"/>
  <c r="P14" i="1"/>
  <c r="D14" i="14" s="1"/>
  <c r="P15" i="1"/>
  <c r="D15" i="13" s="1"/>
  <c r="P16" i="1"/>
  <c r="D16" i="12" s="1"/>
  <c r="G16" i="12" s="1"/>
  <c r="P17" i="1"/>
  <c r="D17" i="13" s="1"/>
  <c r="P18" i="1"/>
  <c r="D18" i="13" s="1"/>
  <c r="P19" i="1"/>
  <c r="D19" i="14" s="1"/>
  <c r="P20" i="1"/>
  <c r="D20" i="3" s="1"/>
  <c r="P21" i="1"/>
  <c r="D21" i="3" s="1"/>
  <c r="P22" i="1"/>
  <c r="D22" i="13" s="1"/>
  <c r="I22" i="13" s="1"/>
  <c r="P23" i="1"/>
  <c r="D23" i="12" s="1"/>
  <c r="I23" i="12" s="1"/>
  <c r="P24" i="1"/>
  <c r="D24" i="3" s="1"/>
  <c r="P25" i="1"/>
  <c r="D25" i="12" s="1"/>
  <c r="P26" i="1"/>
  <c r="D26" i="13" s="1"/>
  <c r="P27" i="1"/>
  <c r="D27" i="13" s="1"/>
  <c r="I27" i="13" s="1"/>
  <c r="P28" i="1"/>
  <c r="D28" i="3" s="1"/>
  <c r="P29" i="1"/>
  <c r="D29" i="14" s="1"/>
  <c r="P30" i="1"/>
  <c r="D30" i="3" s="1"/>
  <c r="P31" i="1"/>
  <c r="D31" i="3" s="1"/>
  <c r="E31" i="3" s="1"/>
  <c r="F31" i="3" s="1"/>
  <c r="P32" i="1"/>
  <c r="P33" i="1"/>
  <c r="D33" i="13" s="1"/>
  <c r="I33" i="13" s="1"/>
  <c r="P34" i="1"/>
  <c r="D34" i="12" s="1"/>
  <c r="P35" i="1"/>
  <c r="D35" i="13" s="1"/>
  <c r="I35" i="13" s="1"/>
  <c r="P36" i="1"/>
  <c r="D36" i="3" s="1"/>
  <c r="P37" i="1"/>
  <c r="D37" i="13" s="1"/>
  <c r="I37" i="13" s="1"/>
  <c r="H37" i="13" s="1"/>
  <c r="P38" i="1"/>
  <c r="D38" i="12" s="1"/>
  <c r="P39" i="1"/>
  <c r="D39" i="3" s="1"/>
  <c r="E39" i="3" s="1"/>
  <c r="F39" i="3" s="1"/>
  <c r="P40" i="1"/>
  <c r="D40" i="13" s="1"/>
  <c r="P41" i="1"/>
  <c r="P42" i="1"/>
  <c r="D42" i="12" s="1"/>
  <c r="P43" i="1"/>
  <c r="D43" i="13" s="1"/>
  <c r="I43" i="13" s="1"/>
  <c r="P44" i="1"/>
  <c r="D44" i="3" s="1"/>
  <c r="P45" i="1"/>
  <c r="D45" i="12" s="1"/>
  <c r="I45" i="3" s="1"/>
  <c r="P46" i="1"/>
  <c r="D46" i="14" s="1"/>
  <c r="I46" i="14" s="1"/>
  <c r="P4" i="1"/>
  <c r="D4" i="12" s="1"/>
  <c r="I4" i="12" s="1"/>
  <c r="G17" i="7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D9" i="14"/>
  <c r="D15" i="14"/>
  <c r="G15" i="14" s="1"/>
  <c r="J15" i="14" s="1"/>
  <c r="D25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D41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D4" i="3"/>
  <c r="G4" i="3" s="1"/>
  <c r="D5" i="3"/>
  <c r="D9" i="3"/>
  <c r="D25" i="3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D33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D9" i="12"/>
  <c r="A9" i="12"/>
  <c r="A8" i="12"/>
  <c r="A7" i="12"/>
  <c r="A6" i="12"/>
  <c r="A5" i="12"/>
  <c r="A4" i="12"/>
  <c r="C5" i="1"/>
  <c r="C5" i="14" s="1"/>
  <c r="C6" i="1"/>
  <c r="C6" i="12" s="1"/>
  <c r="C7" i="1"/>
  <c r="C7" i="13" s="1"/>
  <c r="C8" i="1"/>
  <c r="C8" i="13" s="1"/>
  <c r="C9" i="1"/>
  <c r="C10" i="1"/>
  <c r="C10" i="13" s="1"/>
  <c r="C11" i="1"/>
  <c r="C12" i="1"/>
  <c r="C12" i="12" s="1"/>
  <c r="C13" i="1"/>
  <c r="C13" i="14" s="1"/>
  <c r="C14" i="1"/>
  <c r="C14" i="13" s="1"/>
  <c r="C15" i="1"/>
  <c r="C15" i="13" s="1"/>
  <c r="C16" i="1"/>
  <c r="C16" i="14" s="1"/>
  <c r="C17" i="1"/>
  <c r="C17" i="13" s="1"/>
  <c r="C18" i="1"/>
  <c r="C19" i="1"/>
  <c r="C20" i="1"/>
  <c r="C20" i="12" s="1"/>
  <c r="C21" i="1"/>
  <c r="C21" i="13" s="1"/>
  <c r="C22" i="1"/>
  <c r="C22" i="13" s="1"/>
  <c r="C23" i="1"/>
  <c r="C23" i="14" s="1"/>
  <c r="C24" i="1"/>
  <c r="C24" i="14" s="1"/>
  <c r="C25" i="1"/>
  <c r="C25" i="13" s="1"/>
  <c r="C26" i="1"/>
  <c r="C26" i="12" s="1"/>
  <c r="C27" i="1"/>
  <c r="C28" i="1"/>
  <c r="C28" i="12" s="1"/>
  <c r="C29" i="1"/>
  <c r="C29" i="12" s="1"/>
  <c r="C30" i="1"/>
  <c r="C30" i="14" s="1"/>
  <c r="C31" i="1"/>
  <c r="C31" i="13" s="1"/>
  <c r="C32" i="1"/>
  <c r="C32" i="12" s="1"/>
  <c r="C33" i="1"/>
  <c r="C34" i="1"/>
  <c r="C34" i="14" s="1"/>
  <c r="C35" i="1"/>
  <c r="C35" i="13" s="1"/>
  <c r="C36" i="1"/>
  <c r="C36" i="14" s="1"/>
  <c r="C37" i="1"/>
  <c r="C37" i="14" s="1"/>
  <c r="C38" i="1"/>
  <c r="C38" i="14" s="1"/>
  <c r="C39" i="1"/>
  <c r="C39" i="14" s="1"/>
  <c r="C40" i="1"/>
  <c r="C40" i="14" s="1"/>
  <c r="C41" i="1"/>
  <c r="C41" i="13" s="1"/>
  <c r="C42" i="1"/>
  <c r="C43" i="1"/>
  <c r="C43" i="12" s="1"/>
  <c r="C44" i="1"/>
  <c r="C44" i="13" s="1"/>
  <c r="C45" i="1"/>
  <c r="C45" i="12" s="1"/>
  <c r="C46" i="1"/>
  <c r="C46" i="13" s="1"/>
  <c r="C47" i="1"/>
  <c r="C47" i="13" s="1"/>
  <c r="C48" i="1"/>
  <c r="C48" i="12" s="1"/>
  <c r="C49" i="1"/>
  <c r="C49" i="13" s="1"/>
  <c r="C50" i="1"/>
  <c r="C51" i="1"/>
  <c r="C51" i="14" s="1"/>
  <c r="C52" i="1"/>
  <c r="C52" i="13" s="1"/>
  <c r="C53" i="1"/>
  <c r="C53" i="13" s="1"/>
  <c r="C4" i="1"/>
  <c r="C4" i="13" s="1"/>
  <c r="I17" i="7"/>
  <c r="I15" i="7"/>
  <c r="I13" i="7"/>
  <c r="I11" i="7"/>
  <c r="G15" i="7"/>
  <c r="G13" i="7"/>
  <c r="G11" i="7"/>
  <c r="D47" i="14" l="1"/>
  <c r="I47" i="14" s="1"/>
  <c r="D47" i="3"/>
  <c r="D46" i="13"/>
  <c r="I46" i="13" s="1"/>
  <c r="D14" i="13"/>
  <c r="I14" i="13" s="1"/>
  <c r="D4" i="14"/>
  <c r="D8" i="3"/>
  <c r="G8" i="3" s="1"/>
  <c r="D31" i="13"/>
  <c r="I31" i="13" s="1"/>
  <c r="H43" i="13"/>
  <c r="H35" i="13"/>
  <c r="H27" i="13"/>
  <c r="D31" i="12"/>
  <c r="E31" i="12" s="1"/>
  <c r="F31" i="12" s="1"/>
  <c r="D48" i="13"/>
  <c r="I48" i="13" s="1"/>
  <c r="C7" i="12"/>
  <c r="D7" i="13"/>
  <c r="G7" i="13" s="1"/>
  <c r="D39" i="14"/>
  <c r="I39" i="14" s="1"/>
  <c r="D7" i="12"/>
  <c r="G7" i="12" s="1"/>
  <c r="D39" i="12"/>
  <c r="I39" i="3" s="1"/>
  <c r="H39" i="3" s="1"/>
  <c r="D23" i="3"/>
  <c r="D4" i="13"/>
  <c r="G4" i="13" s="1"/>
  <c r="J4" i="13" s="1"/>
  <c r="D31" i="14"/>
  <c r="I31" i="14" s="1"/>
  <c r="H31" i="14" s="1"/>
  <c r="D15" i="3"/>
  <c r="E15" i="3" s="1"/>
  <c r="F15" i="3" s="1"/>
  <c r="C20" i="13"/>
  <c r="D15" i="12"/>
  <c r="E15" i="12" s="1"/>
  <c r="F15" i="12" s="1"/>
  <c r="D48" i="12"/>
  <c r="I48" i="3" s="1"/>
  <c r="D48" i="3"/>
  <c r="E48" i="3" s="1"/>
  <c r="F48" i="3" s="1"/>
  <c r="D39" i="13"/>
  <c r="I39" i="13" s="1"/>
  <c r="D23" i="14"/>
  <c r="I23" i="14" s="1"/>
  <c r="C16" i="12"/>
  <c r="D7" i="3"/>
  <c r="E7" i="3" s="1"/>
  <c r="F7" i="3" s="1"/>
  <c r="C16" i="13"/>
  <c r="D23" i="13"/>
  <c r="C15" i="14"/>
  <c r="D22" i="14"/>
  <c r="I22" i="14" s="1"/>
  <c r="J46" i="12"/>
  <c r="J38" i="12"/>
  <c r="J30" i="12"/>
  <c r="D22" i="12"/>
  <c r="I22" i="12" s="1"/>
  <c r="D22" i="3"/>
  <c r="E22" i="3" s="1"/>
  <c r="F22" i="3" s="1"/>
  <c r="D47" i="13"/>
  <c r="E47" i="13" s="1"/>
  <c r="F47" i="13" s="1"/>
  <c r="D46" i="3"/>
  <c r="J47" i="13"/>
  <c r="D30" i="14"/>
  <c r="I30" i="14" s="1"/>
  <c r="I15" i="14"/>
  <c r="H15" i="14" s="1"/>
  <c r="D46" i="12"/>
  <c r="I46" i="12" s="1"/>
  <c r="D6" i="3"/>
  <c r="I11" i="13"/>
  <c r="H11" i="13" s="1"/>
  <c r="D30" i="13"/>
  <c r="I30" i="13" s="1"/>
  <c r="G14" i="14"/>
  <c r="J14" i="14" s="1"/>
  <c r="I14" i="14"/>
  <c r="I38" i="12"/>
  <c r="I38" i="3"/>
  <c r="D30" i="12"/>
  <c r="I30" i="12" s="1"/>
  <c r="D38" i="3"/>
  <c r="D14" i="3"/>
  <c r="E14" i="3" s="1"/>
  <c r="F14" i="3" s="1"/>
  <c r="D13" i="13"/>
  <c r="C6" i="14"/>
  <c r="H22" i="13"/>
  <c r="I8" i="14"/>
  <c r="H8" i="14" s="1"/>
  <c r="C28" i="13"/>
  <c r="D45" i="13"/>
  <c r="I45" i="13" s="1"/>
  <c r="H45" i="13" s="1"/>
  <c r="I45" i="12"/>
  <c r="H45" i="12" s="1"/>
  <c r="C4" i="12"/>
  <c r="D5" i="12"/>
  <c r="D14" i="12"/>
  <c r="E14" i="12" s="1"/>
  <c r="F14" i="12" s="1"/>
  <c r="D47" i="12"/>
  <c r="I47" i="3" s="1"/>
  <c r="H47" i="3" s="1"/>
  <c r="C5" i="13"/>
  <c r="C12" i="13"/>
  <c r="I7" i="14"/>
  <c r="H7" i="14" s="1"/>
  <c r="C13" i="12"/>
  <c r="D45" i="3"/>
  <c r="C10" i="14"/>
  <c r="D13" i="12"/>
  <c r="I13" i="12" s="1"/>
  <c r="C30" i="12"/>
  <c r="D38" i="13"/>
  <c r="I38" i="13" s="1"/>
  <c r="D6" i="13"/>
  <c r="E6" i="13" s="1"/>
  <c r="F6" i="13" s="1"/>
  <c r="C7" i="14"/>
  <c r="D38" i="14"/>
  <c r="I38" i="14" s="1"/>
  <c r="D13" i="14"/>
  <c r="G13" i="14" s="1"/>
  <c r="J13" i="14" s="1"/>
  <c r="G15" i="12"/>
  <c r="J15" i="12" s="1"/>
  <c r="I6" i="14"/>
  <c r="H6" i="14" s="1"/>
  <c r="D6" i="12"/>
  <c r="C13" i="13"/>
  <c r="D5" i="13"/>
  <c r="I5" i="13" s="1"/>
  <c r="C14" i="14"/>
  <c r="C44" i="14"/>
  <c r="H33" i="13"/>
  <c r="I23" i="3"/>
  <c r="H23" i="3" s="1"/>
  <c r="C44" i="12"/>
  <c r="G14" i="13"/>
  <c r="I22" i="3"/>
  <c r="D53" i="3"/>
  <c r="E53" i="3" s="1"/>
  <c r="F53" i="3" s="1"/>
  <c r="J48" i="14"/>
  <c r="H39" i="14"/>
  <c r="H45" i="3"/>
  <c r="H38" i="12"/>
  <c r="I31" i="3"/>
  <c r="H31" i="3" s="1"/>
  <c r="J48" i="12"/>
  <c r="H23" i="12"/>
  <c r="J25" i="14"/>
  <c r="J20" i="13"/>
  <c r="E17" i="13"/>
  <c r="F17" i="13" s="1"/>
  <c r="G17" i="13"/>
  <c r="I17" i="13"/>
  <c r="I7" i="12"/>
  <c r="I23" i="13"/>
  <c r="H23" i="13" s="1"/>
  <c r="I48" i="14"/>
  <c r="H48" i="14" s="1"/>
  <c r="C35" i="12"/>
  <c r="C35" i="14"/>
  <c r="C11" i="13"/>
  <c r="C11" i="12"/>
  <c r="I16" i="3"/>
  <c r="I16" i="12"/>
  <c r="H16" i="12" s="1"/>
  <c r="E40" i="13"/>
  <c r="F40" i="13" s="1"/>
  <c r="I40" i="13"/>
  <c r="H40" i="13" s="1"/>
  <c r="I42" i="3"/>
  <c r="I42" i="12"/>
  <c r="H42" i="12" s="1"/>
  <c r="I34" i="3"/>
  <c r="I34" i="12"/>
  <c r="H34" i="12" s="1"/>
  <c r="I26" i="13"/>
  <c r="H26" i="13" s="1"/>
  <c r="G18" i="13"/>
  <c r="J18" i="13" s="1"/>
  <c r="I18" i="13"/>
  <c r="G10" i="13"/>
  <c r="J10" i="13" s="1"/>
  <c r="I10" i="13"/>
  <c r="D51" i="12"/>
  <c r="J51" i="14"/>
  <c r="D51" i="14"/>
  <c r="E51" i="14" s="1"/>
  <c r="F51" i="14" s="1"/>
  <c r="D51" i="3"/>
  <c r="E51" i="3" s="1"/>
  <c r="F51" i="3" s="1"/>
  <c r="D51" i="13"/>
  <c r="I51" i="13" s="1"/>
  <c r="H51" i="13" s="1"/>
  <c r="J50" i="14"/>
  <c r="J42" i="14"/>
  <c r="J34" i="14"/>
  <c r="J26" i="14"/>
  <c r="G15" i="13"/>
  <c r="I15" i="13"/>
  <c r="C34" i="12"/>
  <c r="C11" i="14"/>
  <c r="E25" i="14"/>
  <c r="F25" i="14" s="1"/>
  <c r="I25" i="14"/>
  <c r="H25" i="14" s="1"/>
  <c r="G4" i="14"/>
  <c r="I4" i="14"/>
  <c r="D41" i="14"/>
  <c r="D41" i="3"/>
  <c r="E41" i="3" s="1"/>
  <c r="F41" i="3" s="1"/>
  <c r="I25" i="3"/>
  <c r="H25" i="3" s="1"/>
  <c r="I25" i="12"/>
  <c r="H25" i="12" s="1"/>
  <c r="D17" i="3"/>
  <c r="D17" i="12"/>
  <c r="D17" i="14"/>
  <c r="G9" i="13"/>
  <c r="I9" i="13"/>
  <c r="D50" i="12"/>
  <c r="E50" i="12" s="1"/>
  <c r="F50" i="12" s="1"/>
  <c r="J50" i="12"/>
  <c r="D50" i="14"/>
  <c r="I53" i="13"/>
  <c r="H53" i="13" s="1"/>
  <c r="C43" i="14"/>
  <c r="C43" i="13"/>
  <c r="C19" i="14"/>
  <c r="C19" i="13"/>
  <c r="C42" i="13"/>
  <c r="C42" i="12"/>
  <c r="C18" i="12"/>
  <c r="C18" i="13"/>
  <c r="C9" i="12"/>
  <c r="C9" i="14"/>
  <c r="G9" i="12"/>
  <c r="I9" i="3"/>
  <c r="I9" i="12"/>
  <c r="D40" i="12"/>
  <c r="D40" i="3"/>
  <c r="E40" i="3" s="1"/>
  <c r="F40" i="3" s="1"/>
  <c r="J40" i="12"/>
  <c r="D32" i="3"/>
  <c r="J32" i="12"/>
  <c r="D32" i="14"/>
  <c r="E32" i="14" s="1"/>
  <c r="F32" i="14" s="1"/>
  <c r="D32" i="13"/>
  <c r="D32" i="12"/>
  <c r="E32" i="12" s="1"/>
  <c r="F32" i="12" s="1"/>
  <c r="D24" i="14"/>
  <c r="J24" i="12"/>
  <c r="D16" i="13"/>
  <c r="D16" i="14"/>
  <c r="E16" i="14" s="1"/>
  <c r="F16" i="14" s="1"/>
  <c r="D8" i="13"/>
  <c r="D8" i="12"/>
  <c r="E8" i="12" s="1"/>
  <c r="F8" i="12" s="1"/>
  <c r="J49" i="12"/>
  <c r="D49" i="14"/>
  <c r="E49" i="14" s="1"/>
  <c r="F49" i="14" s="1"/>
  <c r="J49" i="14"/>
  <c r="D49" i="3"/>
  <c r="E49" i="3" s="1"/>
  <c r="F49" i="3" s="1"/>
  <c r="D49" i="13"/>
  <c r="I49" i="13" s="1"/>
  <c r="H49" i="13" s="1"/>
  <c r="D49" i="12"/>
  <c r="E49" i="12" s="1"/>
  <c r="F49" i="12" s="1"/>
  <c r="J40" i="14"/>
  <c r="J32" i="14"/>
  <c r="J24" i="14"/>
  <c r="E41" i="13"/>
  <c r="F41" i="13" s="1"/>
  <c r="I41" i="13"/>
  <c r="H41" i="13" s="1"/>
  <c r="G9" i="14"/>
  <c r="J9" i="14" s="1"/>
  <c r="I9" i="14"/>
  <c r="C51" i="13"/>
  <c r="C51" i="12"/>
  <c r="C27" i="12"/>
  <c r="C27" i="14"/>
  <c r="C50" i="14"/>
  <c r="C50" i="13"/>
  <c r="C9" i="13"/>
  <c r="C27" i="13"/>
  <c r="C18" i="14"/>
  <c r="H47" i="14"/>
  <c r="P54" i="1"/>
  <c r="D5" i="5" s="1"/>
  <c r="J41" i="14"/>
  <c r="E33" i="12"/>
  <c r="F33" i="12" s="1"/>
  <c r="I33" i="3"/>
  <c r="I33" i="12"/>
  <c r="H33" i="12" s="1"/>
  <c r="C33" i="13"/>
  <c r="C33" i="12"/>
  <c r="C17" i="14"/>
  <c r="C17" i="12"/>
  <c r="C10" i="12"/>
  <c r="H46" i="14"/>
  <c r="J33" i="14"/>
  <c r="C5" i="12"/>
  <c r="C14" i="12"/>
  <c r="C21" i="12"/>
  <c r="C6" i="13"/>
  <c r="C20" i="14"/>
  <c r="J47" i="14"/>
  <c r="J39" i="14"/>
  <c r="J31" i="14"/>
  <c r="J23" i="14"/>
  <c r="I29" i="14"/>
  <c r="H29" i="14" s="1"/>
  <c r="I5" i="14"/>
  <c r="H5" i="14" s="1"/>
  <c r="H46" i="13"/>
  <c r="H31" i="13"/>
  <c r="H48" i="13"/>
  <c r="I4" i="3"/>
  <c r="H4" i="3" s="1"/>
  <c r="C8" i="12"/>
  <c r="C36" i="13"/>
  <c r="C4" i="14"/>
  <c r="C8" i="14"/>
  <c r="C12" i="14"/>
  <c r="J46" i="14"/>
  <c r="J38" i="14"/>
  <c r="J30" i="14"/>
  <c r="J22" i="14"/>
  <c r="G4" i="12"/>
  <c r="H4" i="12" s="1"/>
  <c r="I52" i="14"/>
  <c r="H52" i="14" s="1"/>
  <c r="H30" i="13"/>
  <c r="C36" i="12"/>
  <c r="C28" i="14"/>
  <c r="J53" i="14"/>
  <c r="J45" i="14"/>
  <c r="J37" i="14"/>
  <c r="J29" i="14"/>
  <c r="J21" i="14"/>
  <c r="J51" i="12"/>
  <c r="I19" i="14"/>
  <c r="H19" i="14" s="1"/>
  <c r="H14" i="13"/>
  <c r="C15" i="12"/>
  <c r="J53" i="13"/>
  <c r="J52" i="14"/>
  <c r="J44" i="14"/>
  <c r="J36" i="14"/>
  <c r="J28" i="14"/>
  <c r="J20" i="14"/>
  <c r="H39" i="13"/>
  <c r="I47" i="13"/>
  <c r="H47" i="13" s="1"/>
  <c r="I47" i="12"/>
  <c r="H47" i="12" s="1"/>
  <c r="I31" i="12"/>
  <c r="H31" i="12" s="1"/>
  <c r="I15" i="12"/>
  <c r="J35" i="14"/>
  <c r="J27" i="14"/>
  <c r="J19" i="14"/>
  <c r="J43" i="14"/>
  <c r="J4" i="14"/>
  <c r="H38" i="13"/>
  <c r="C39" i="13"/>
  <c r="C31" i="14"/>
  <c r="D21" i="12"/>
  <c r="C24" i="12"/>
  <c r="C37" i="12"/>
  <c r="C24" i="13"/>
  <c r="C32" i="13"/>
  <c r="C32" i="14"/>
  <c r="C48" i="14"/>
  <c r="D37" i="14"/>
  <c r="C31" i="12"/>
  <c r="D37" i="12"/>
  <c r="C40" i="12"/>
  <c r="C52" i="12"/>
  <c r="D50" i="3"/>
  <c r="E50" i="3" s="1"/>
  <c r="F50" i="3" s="1"/>
  <c r="D50" i="13"/>
  <c r="D25" i="13"/>
  <c r="I25" i="13" s="1"/>
  <c r="H25" i="13" s="1"/>
  <c r="C21" i="14"/>
  <c r="C25" i="14"/>
  <c r="C52" i="14"/>
  <c r="D33" i="14"/>
  <c r="D21" i="14"/>
  <c r="E21" i="14" s="1"/>
  <c r="F21" i="14" s="1"/>
  <c r="J41" i="12"/>
  <c r="J33" i="12"/>
  <c r="J25" i="12"/>
  <c r="C39" i="12"/>
  <c r="C23" i="13"/>
  <c r="C49" i="12"/>
  <c r="C22" i="12"/>
  <c r="C29" i="13"/>
  <c r="C37" i="13"/>
  <c r="C48" i="13"/>
  <c r="C33" i="14"/>
  <c r="C46" i="12"/>
  <c r="C40" i="13"/>
  <c r="D29" i="13"/>
  <c r="C25" i="12"/>
  <c r="C47" i="12"/>
  <c r="C29" i="14"/>
  <c r="C41" i="14"/>
  <c r="C45" i="14"/>
  <c r="C49" i="14"/>
  <c r="C19" i="12"/>
  <c r="C38" i="12"/>
  <c r="C41" i="12"/>
  <c r="C50" i="12"/>
  <c r="C53" i="12"/>
  <c r="D37" i="3"/>
  <c r="C45" i="13"/>
  <c r="D21" i="13"/>
  <c r="C22" i="14"/>
  <c r="C53" i="14"/>
  <c r="C47" i="14"/>
  <c r="D29" i="3"/>
  <c r="E29" i="3" s="1"/>
  <c r="F29" i="3" s="1"/>
  <c r="D29" i="12"/>
  <c r="E29" i="12" s="1"/>
  <c r="F29" i="12" s="1"/>
  <c r="D41" i="12"/>
  <c r="E41" i="12" s="1"/>
  <c r="F41" i="12" s="1"/>
  <c r="D53" i="12"/>
  <c r="D33" i="3"/>
  <c r="C26" i="13"/>
  <c r="C30" i="13"/>
  <c r="C34" i="13"/>
  <c r="C38" i="13"/>
  <c r="C26" i="14"/>
  <c r="C42" i="14"/>
  <c r="C46" i="14"/>
  <c r="D45" i="14"/>
  <c r="E45" i="14" s="1"/>
  <c r="F45" i="14" s="1"/>
  <c r="C23" i="12"/>
  <c r="D53" i="14"/>
  <c r="J53" i="12"/>
  <c r="J45" i="12"/>
  <c r="J37" i="12"/>
  <c r="J29" i="12"/>
  <c r="J21" i="12"/>
  <c r="J52" i="12"/>
  <c r="J52" i="13"/>
  <c r="J51" i="13"/>
  <c r="J50" i="13"/>
  <c r="D52" i="3"/>
  <c r="J49" i="13"/>
  <c r="D52" i="12"/>
  <c r="D52" i="13"/>
  <c r="E52" i="13" s="1"/>
  <c r="F52" i="13" s="1"/>
  <c r="J48" i="13"/>
  <c r="D24" i="12"/>
  <c r="D40" i="14"/>
  <c r="D11" i="12"/>
  <c r="D24" i="13"/>
  <c r="D16" i="3"/>
  <c r="J39" i="12"/>
  <c r="J31" i="12"/>
  <c r="J23" i="12"/>
  <c r="D19" i="3"/>
  <c r="D27" i="14"/>
  <c r="J34" i="13"/>
  <c r="J26" i="13"/>
  <c r="D26" i="12"/>
  <c r="J22" i="12"/>
  <c r="E9" i="14"/>
  <c r="F9" i="14" s="1"/>
  <c r="D34" i="13"/>
  <c r="D44" i="12"/>
  <c r="E44" i="12" s="1"/>
  <c r="F44" i="12" s="1"/>
  <c r="D42" i="13"/>
  <c r="J42" i="12"/>
  <c r="D36" i="12"/>
  <c r="J26" i="12"/>
  <c r="J34" i="12"/>
  <c r="D28" i="12"/>
  <c r="J45" i="13"/>
  <c r="J37" i="13"/>
  <c r="J29" i="13"/>
  <c r="J21" i="13"/>
  <c r="J44" i="13"/>
  <c r="D27" i="3"/>
  <c r="D35" i="14"/>
  <c r="J28" i="12"/>
  <c r="J42" i="13"/>
  <c r="E17" i="14"/>
  <c r="F17" i="14" s="1"/>
  <c r="J36" i="13"/>
  <c r="D27" i="12"/>
  <c r="D35" i="12"/>
  <c r="D43" i="12"/>
  <c r="D35" i="3"/>
  <c r="D43" i="14"/>
  <c r="D11" i="14"/>
  <c r="J43" i="12"/>
  <c r="J35" i="12"/>
  <c r="J27" i="12"/>
  <c r="J19" i="12"/>
  <c r="J20" i="12"/>
  <c r="J36" i="12"/>
  <c r="D19" i="12"/>
  <c r="E19" i="12" s="1"/>
  <c r="F19" i="12" s="1"/>
  <c r="E10" i="13"/>
  <c r="F10" i="13" s="1"/>
  <c r="D44" i="13"/>
  <c r="D36" i="13"/>
  <c r="D28" i="13"/>
  <c r="D20" i="13"/>
  <c r="D12" i="13"/>
  <c r="J28" i="13"/>
  <c r="D43" i="3"/>
  <c r="D11" i="3"/>
  <c r="D19" i="13"/>
  <c r="J44" i="12"/>
  <c r="E7" i="14"/>
  <c r="F7" i="14" s="1"/>
  <c r="J9" i="13"/>
  <c r="D10" i="12"/>
  <c r="D18" i="12"/>
  <c r="D42" i="3"/>
  <c r="D34" i="3"/>
  <c r="D26" i="3"/>
  <c r="D18" i="3"/>
  <c r="D10" i="3"/>
  <c r="D44" i="14"/>
  <c r="D36" i="14"/>
  <c r="D28" i="14"/>
  <c r="D20" i="14"/>
  <c r="D12" i="14"/>
  <c r="J43" i="13"/>
  <c r="J35" i="13"/>
  <c r="J27" i="13"/>
  <c r="J19" i="13"/>
  <c r="J11" i="13"/>
  <c r="D42" i="14"/>
  <c r="D34" i="14"/>
  <c r="D26" i="14"/>
  <c r="D18" i="14"/>
  <c r="D10" i="14"/>
  <c r="J16" i="12"/>
  <c r="J41" i="13"/>
  <c r="J33" i="13"/>
  <c r="J25" i="13"/>
  <c r="J40" i="13"/>
  <c r="J32" i="13"/>
  <c r="J24" i="13"/>
  <c r="J39" i="13"/>
  <c r="J31" i="13"/>
  <c r="J23" i="13"/>
  <c r="J46" i="13"/>
  <c r="J38" i="13"/>
  <c r="J30" i="13"/>
  <c r="J22" i="13"/>
  <c r="D12" i="12"/>
  <c r="D20" i="12"/>
  <c r="E8" i="14"/>
  <c r="F8" i="14" s="1"/>
  <c r="E38" i="13"/>
  <c r="F38" i="13" s="1"/>
  <c r="E46" i="13"/>
  <c r="F46" i="13" s="1"/>
  <c r="G17" i="3"/>
  <c r="G9" i="3"/>
  <c r="H9" i="3" s="1"/>
  <c r="E24" i="3"/>
  <c r="F24" i="3" s="1"/>
  <c r="G15" i="3"/>
  <c r="G7" i="3"/>
  <c r="G6" i="3"/>
  <c r="G5" i="3"/>
  <c r="G12" i="3"/>
  <c r="E30" i="3"/>
  <c r="F30" i="3" s="1"/>
  <c r="E47" i="3"/>
  <c r="F47" i="3" s="1"/>
  <c r="E46" i="3"/>
  <c r="F46" i="3" s="1"/>
  <c r="E6" i="3"/>
  <c r="F6" i="3" s="1"/>
  <c r="E23" i="3"/>
  <c r="F23" i="3" s="1"/>
  <c r="E45" i="3"/>
  <c r="F45" i="3" s="1"/>
  <c r="E47" i="14"/>
  <c r="F47" i="14" s="1"/>
  <c r="E18" i="13"/>
  <c r="F18" i="13" s="1"/>
  <c r="E44" i="3"/>
  <c r="F44" i="3" s="1"/>
  <c r="E20" i="3"/>
  <c r="F20" i="3" s="1"/>
  <c r="E26" i="13"/>
  <c r="F26" i="13" s="1"/>
  <c r="E15" i="14"/>
  <c r="F15" i="14" s="1"/>
  <c r="E32" i="3"/>
  <c r="F32" i="3" s="1"/>
  <c r="E50" i="13"/>
  <c r="F50" i="13" s="1"/>
  <c r="E23" i="12"/>
  <c r="F23" i="12" s="1"/>
  <c r="E15" i="13"/>
  <c r="F15" i="13" s="1"/>
  <c r="E5" i="3"/>
  <c r="F5" i="3" s="1"/>
  <c r="E28" i="3"/>
  <c r="F28" i="3" s="1"/>
  <c r="E39" i="13"/>
  <c r="F39" i="13" s="1"/>
  <c r="E48" i="14"/>
  <c r="F48" i="14" s="1"/>
  <c r="E4" i="3"/>
  <c r="F4" i="3" s="1"/>
  <c r="E13" i="3"/>
  <c r="F13" i="3" s="1"/>
  <c r="J4" i="3"/>
  <c r="E47" i="12"/>
  <c r="F47" i="12" s="1"/>
  <c r="E12" i="3"/>
  <c r="F12" i="3" s="1"/>
  <c r="E9" i="12"/>
  <c r="F9" i="12" s="1"/>
  <c r="E31" i="13"/>
  <c r="F31" i="13" s="1"/>
  <c r="E36" i="3"/>
  <c r="F36" i="3" s="1"/>
  <c r="E23" i="13"/>
  <c r="F23" i="13" s="1"/>
  <c r="E14" i="14"/>
  <c r="F14" i="14" s="1"/>
  <c r="E21" i="3"/>
  <c r="F21" i="3" s="1"/>
  <c r="E39" i="12"/>
  <c r="F39" i="12" s="1"/>
  <c r="E4" i="14"/>
  <c r="F4" i="14" s="1"/>
  <c r="E7" i="12"/>
  <c r="F7" i="12" s="1"/>
  <c r="E22" i="13"/>
  <c r="F22" i="13" s="1"/>
  <c r="E52" i="14"/>
  <c r="F52" i="14" s="1"/>
  <c r="E45" i="12"/>
  <c r="F45" i="12" s="1"/>
  <c r="E34" i="12"/>
  <c r="F34" i="12" s="1"/>
  <c r="E16" i="12"/>
  <c r="F16" i="12" s="1"/>
  <c r="E25" i="12"/>
  <c r="F25" i="12" s="1"/>
  <c r="E12" i="13"/>
  <c r="F12" i="13" s="1"/>
  <c r="E42" i="12"/>
  <c r="F42" i="12" s="1"/>
  <c r="E19" i="14"/>
  <c r="F19" i="14" s="1"/>
  <c r="E5" i="14"/>
  <c r="F5" i="14" s="1"/>
  <c r="E13" i="14"/>
  <c r="F13" i="14" s="1"/>
  <c r="E29" i="14"/>
  <c r="F29" i="14" s="1"/>
  <c r="E6" i="14"/>
  <c r="F6" i="14" s="1"/>
  <c r="E30" i="14"/>
  <c r="F30" i="14" s="1"/>
  <c r="E46" i="14"/>
  <c r="F46" i="14" s="1"/>
  <c r="E39" i="14"/>
  <c r="F39" i="14" s="1"/>
  <c r="E33" i="13"/>
  <c r="F33" i="13" s="1"/>
  <c r="E9" i="13"/>
  <c r="F9" i="13" s="1"/>
  <c r="E11" i="13"/>
  <c r="F11" i="13" s="1"/>
  <c r="E27" i="13"/>
  <c r="F27" i="13" s="1"/>
  <c r="E35" i="13"/>
  <c r="F35" i="13" s="1"/>
  <c r="E43" i="13"/>
  <c r="F43" i="13" s="1"/>
  <c r="E51" i="13"/>
  <c r="F51" i="13" s="1"/>
  <c r="E5" i="13"/>
  <c r="F5" i="13" s="1"/>
  <c r="E13" i="13"/>
  <c r="F13" i="13" s="1"/>
  <c r="E37" i="13"/>
  <c r="F37" i="13" s="1"/>
  <c r="E45" i="13"/>
  <c r="F45" i="13" s="1"/>
  <c r="E53" i="13"/>
  <c r="F53" i="13" s="1"/>
  <c r="E14" i="13"/>
  <c r="F14" i="13" s="1"/>
  <c r="E30" i="13"/>
  <c r="F30" i="13" s="1"/>
  <c r="E27" i="3"/>
  <c r="F27" i="3" s="1"/>
  <c r="E25" i="3"/>
  <c r="F25" i="3" s="1"/>
  <c r="E17" i="3"/>
  <c r="F17" i="3" s="1"/>
  <c r="E9" i="3"/>
  <c r="F9" i="3" s="1"/>
  <c r="E51" i="12"/>
  <c r="F51" i="12" s="1"/>
  <c r="E4" i="12"/>
  <c r="E6" i="12"/>
  <c r="F6" i="12" s="1"/>
  <c r="E22" i="12"/>
  <c r="F22" i="12" s="1"/>
  <c r="E38" i="12"/>
  <c r="F38" i="12" s="1"/>
  <c r="E8" i="3" l="1"/>
  <c r="F8" i="3" s="1"/>
  <c r="I13" i="14"/>
  <c r="H13" i="14" s="1"/>
  <c r="E48" i="12"/>
  <c r="F48" i="12" s="1"/>
  <c r="G14" i="3"/>
  <c r="I7" i="3"/>
  <c r="E13" i="12"/>
  <c r="F13" i="12" s="1"/>
  <c r="I7" i="13"/>
  <c r="H7" i="13" s="1"/>
  <c r="G13" i="12"/>
  <c r="J13" i="12" s="1"/>
  <c r="H7" i="3"/>
  <c r="I48" i="12"/>
  <c r="H48" i="12" s="1"/>
  <c r="E25" i="13"/>
  <c r="F25" i="13" s="1"/>
  <c r="E7" i="13"/>
  <c r="F7" i="13" s="1"/>
  <c r="E31" i="14"/>
  <c r="F31" i="14" s="1"/>
  <c r="I15" i="3"/>
  <c r="H15" i="3" s="1"/>
  <c r="H46" i="12"/>
  <c r="E46" i="12"/>
  <c r="F46" i="12" s="1"/>
  <c r="H7" i="12"/>
  <c r="E48" i="13"/>
  <c r="F48" i="13" s="1"/>
  <c r="E4" i="13"/>
  <c r="F4" i="13" s="1"/>
  <c r="I4" i="13"/>
  <c r="H23" i="14"/>
  <c r="E23" i="14"/>
  <c r="F23" i="14" s="1"/>
  <c r="H9" i="12"/>
  <c r="I39" i="12"/>
  <c r="H39" i="12" s="1"/>
  <c r="H30" i="14"/>
  <c r="H14" i="14"/>
  <c r="I30" i="3"/>
  <c r="H30" i="3" s="1"/>
  <c r="H48" i="3"/>
  <c r="E22" i="14"/>
  <c r="F22" i="14" s="1"/>
  <c r="H22" i="14"/>
  <c r="I46" i="3"/>
  <c r="H46" i="3" s="1"/>
  <c r="H38" i="3"/>
  <c r="E38" i="3"/>
  <c r="F38" i="3" s="1"/>
  <c r="I13" i="3"/>
  <c r="H13" i="3" s="1"/>
  <c r="J9" i="12"/>
  <c r="H30" i="12"/>
  <c r="H22" i="3"/>
  <c r="E30" i="12"/>
  <c r="F30" i="12" s="1"/>
  <c r="H15" i="13"/>
  <c r="H4" i="14"/>
  <c r="H22" i="12"/>
  <c r="H4" i="13"/>
  <c r="H18" i="13"/>
  <c r="H9" i="13"/>
  <c r="H38" i="14"/>
  <c r="H15" i="12"/>
  <c r="I6" i="13"/>
  <c r="G6" i="13"/>
  <c r="I5" i="3"/>
  <c r="H5" i="3" s="1"/>
  <c r="I5" i="12"/>
  <c r="E38" i="14"/>
  <c r="F38" i="14" s="1"/>
  <c r="G5" i="12"/>
  <c r="J5" i="12" s="1"/>
  <c r="H13" i="12"/>
  <c r="G5" i="13"/>
  <c r="H5" i="13" s="1"/>
  <c r="E5" i="12"/>
  <c r="F5" i="12" s="1"/>
  <c r="H17" i="13"/>
  <c r="I6" i="12"/>
  <c r="G6" i="12"/>
  <c r="J6" i="12" s="1"/>
  <c r="I6" i="3"/>
  <c r="H6" i="3" s="1"/>
  <c r="I13" i="13"/>
  <c r="G13" i="13"/>
  <c r="I14" i="12"/>
  <c r="G14" i="12"/>
  <c r="J14" i="12" s="1"/>
  <c r="I14" i="3"/>
  <c r="H14" i="3" s="1"/>
  <c r="G11" i="14"/>
  <c r="J11" i="14" s="1"/>
  <c r="I11" i="14"/>
  <c r="I34" i="13"/>
  <c r="H34" i="13" s="1"/>
  <c r="E24" i="12"/>
  <c r="F24" i="12" s="1"/>
  <c r="I24" i="3"/>
  <c r="H24" i="3" s="1"/>
  <c r="I24" i="12"/>
  <c r="H24" i="12" s="1"/>
  <c r="I51" i="14"/>
  <c r="H51" i="14" s="1"/>
  <c r="E18" i="3"/>
  <c r="F18" i="3" s="1"/>
  <c r="I43" i="14"/>
  <c r="H43" i="14" s="1"/>
  <c r="I45" i="14"/>
  <c r="H45" i="14" s="1"/>
  <c r="I40" i="3"/>
  <c r="H40" i="3" s="1"/>
  <c r="I40" i="12"/>
  <c r="H40" i="12" s="1"/>
  <c r="E50" i="14"/>
  <c r="F50" i="14" s="1"/>
  <c r="I50" i="14"/>
  <c r="H50" i="14" s="1"/>
  <c r="E20" i="12"/>
  <c r="F20" i="12" s="1"/>
  <c r="I20" i="3"/>
  <c r="H20" i="3" s="1"/>
  <c r="I20" i="12"/>
  <c r="H20" i="12" s="1"/>
  <c r="I34" i="14"/>
  <c r="H34" i="14" s="1"/>
  <c r="I12" i="14"/>
  <c r="E34" i="3"/>
  <c r="F34" i="3" s="1"/>
  <c r="H34" i="3"/>
  <c r="I12" i="13"/>
  <c r="G12" i="13"/>
  <c r="J12" i="13" s="1"/>
  <c r="E43" i="12"/>
  <c r="F43" i="12" s="1"/>
  <c r="I43" i="12"/>
  <c r="H43" i="12" s="1"/>
  <c r="I43" i="3"/>
  <c r="H43" i="3" s="1"/>
  <c r="I52" i="3"/>
  <c r="H52" i="3" s="1"/>
  <c r="I52" i="12"/>
  <c r="H52" i="12" s="1"/>
  <c r="I53" i="3"/>
  <c r="H53" i="3" s="1"/>
  <c r="I53" i="12"/>
  <c r="H53" i="12" s="1"/>
  <c r="I49" i="14"/>
  <c r="H49" i="14" s="1"/>
  <c r="I32" i="3"/>
  <c r="H32" i="3" s="1"/>
  <c r="I32" i="12"/>
  <c r="H32" i="12" s="1"/>
  <c r="I51" i="12"/>
  <c r="H51" i="12" s="1"/>
  <c r="I51" i="3"/>
  <c r="H51" i="3" s="1"/>
  <c r="H9" i="14"/>
  <c r="G10" i="14"/>
  <c r="J10" i="14" s="1"/>
  <c r="I10" i="14"/>
  <c r="I53" i="14"/>
  <c r="H53" i="14" s="1"/>
  <c r="E29" i="13"/>
  <c r="F29" i="13" s="1"/>
  <c r="I29" i="13"/>
  <c r="H29" i="13" s="1"/>
  <c r="J7" i="12"/>
  <c r="E35" i="3"/>
  <c r="F35" i="3" s="1"/>
  <c r="H33" i="3"/>
  <c r="E37" i="14"/>
  <c r="F37" i="14" s="1"/>
  <c r="I37" i="14"/>
  <c r="H37" i="14" s="1"/>
  <c r="E33" i="3"/>
  <c r="F33" i="3" s="1"/>
  <c r="G12" i="12"/>
  <c r="J12" i="12" s="1"/>
  <c r="I12" i="3"/>
  <c r="H12" i="3" s="1"/>
  <c r="I12" i="12"/>
  <c r="I42" i="14"/>
  <c r="H42" i="14" s="1"/>
  <c r="E20" i="14"/>
  <c r="F20" i="14" s="1"/>
  <c r="I20" i="14"/>
  <c r="H20" i="14" s="1"/>
  <c r="E42" i="3"/>
  <c r="F42" i="3" s="1"/>
  <c r="H42" i="3"/>
  <c r="I20" i="13"/>
  <c r="H20" i="13" s="1"/>
  <c r="I35" i="3"/>
  <c r="H35" i="3" s="1"/>
  <c r="I35" i="12"/>
  <c r="H35" i="12" s="1"/>
  <c r="E36" i="12"/>
  <c r="F36" i="12" s="1"/>
  <c r="I36" i="3"/>
  <c r="H36" i="3" s="1"/>
  <c r="I36" i="12"/>
  <c r="H36" i="12" s="1"/>
  <c r="I26" i="3"/>
  <c r="H26" i="3" s="1"/>
  <c r="I26" i="12"/>
  <c r="H26" i="12" s="1"/>
  <c r="E16" i="3"/>
  <c r="F16" i="3" s="1"/>
  <c r="I41" i="3"/>
  <c r="H41" i="3" s="1"/>
  <c r="I41" i="12"/>
  <c r="H41" i="12" s="1"/>
  <c r="I50" i="13"/>
  <c r="H50" i="13" s="1"/>
  <c r="E32" i="13"/>
  <c r="F32" i="13" s="1"/>
  <c r="I32" i="13"/>
  <c r="H32" i="13" s="1"/>
  <c r="I50" i="3"/>
  <c r="I50" i="12"/>
  <c r="H50" i="12" s="1"/>
  <c r="E10" i="3"/>
  <c r="F10" i="3" s="1"/>
  <c r="I35" i="14"/>
  <c r="H35" i="14" s="1"/>
  <c r="E28" i="14"/>
  <c r="F28" i="14" s="1"/>
  <c r="I28" i="14"/>
  <c r="H28" i="14" s="1"/>
  <c r="E27" i="12"/>
  <c r="F27" i="12" s="1"/>
  <c r="I27" i="12"/>
  <c r="H27" i="12" s="1"/>
  <c r="I27" i="3"/>
  <c r="H27" i="3" s="1"/>
  <c r="E24" i="13"/>
  <c r="F24" i="13" s="1"/>
  <c r="I24" i="13"/>
  <c r="H24" i="13" s="1"/>
  <c r="E52" i="3"/>
  <c r="F52" i="3" s="1"/>
  <c r="I29" i="3"/>
  <c r="H29" i="3" s="1"/>
  <c r="I29" i="12"/>
  <c r="H29" i="12" s="1"/>
  <c r="H50" i="3"/>
  <c r="I8" i="3"/>
  <c r="H8" i="3" s="1"/>
  <c r="I8" i="12"/>
  <c r="G8" i="12"/>
  <c r="J8" i="12" s="1"/>
  <c r="I32" i="14"/>
  <c r="H32" i="14" s="1"/>
  <c r="E43" i="3"/>
  <c r="F43" i="3" s="1"/>
  <c r="E19" i="3"/>
  <c r="F19" i="3" s="1"/>
  <c r="E16" i="13"/>
  <c r="F16" i="13" s="1"/>
  <c r="G16" i="13"/>
  <c r="I16" i="13"/>
  <c r="E28" i="12"/>
  <c r="F28" i="12" s="1"/>
  <c r="I28" i="3"/>
  <c r="H28" i="3" s="1"/>
  <c r="I28" i="12"/>
  <c r="H28" i="12" s="1"/>
  <c r="E49" i="13"/>
  <c r="F49" i="13" s="1"/>
  <c r="E26" i="14"/>
  <c r="F26" i="14" s="1"/>
  <c r="I26" i="14"/>
  <c r="H26" i="14" s="1"/>
  <c r="G18" i="12"/>
  <c r="J18" i="12" s="1"/>
  <c r="I18" i="3"/>
  <c r="I18" i="12"/>
  <c r="I28" i="13"/>
  <c r="H28" i="13" s="1"/>
  <c r="E37" i="3"/>
  <c r="F37" i="3" s="1"/>
  <c r="E40" i="12"/>
  <c r="F40" i="12" s="1"/>
  <c r="E34" i="13"/>
  <c r="F34" i="13" s="1"/>
  <c r="E36" i="14"/>
  <c r="F36" i="14" s="1"/>
  <c r="I36" i="14"/>
  <c r="H36" i="14" s="1"/>
  <c r="G10" i="12"/>
  <c r="J10" i="12" s="1"/>
  <c r="I10" i="3"/>
  <c r="I10" i="12"/>
  <c r="I19" i="13"/>
  <c r="H19" i="13" s="1"/>
  <c r="I36" i="13"/>
  <c r="H36" i="13" s="1"/>
  <c r="E42" i="13"/>
  <c r="F42" i="13" s="1"/>
  <c r="I42" i="13"/>
  <c r="H42" i="13" s="1"/>
  <c r="G11" i="12"/>
  <c r="J11" i="12" s="1"/>
  <c r="I11" i="3"/>
  <c r="I11" i="12"/>
  <c r="I21" i="14"/>
  <c r="H21" i="14" s="1"/>
  <c r="G8" i="13"/>
  <c r="J8" i="13" s="1"/>
  <c r="I8" i="13"/>
  <c r="E8" i="13"/>
  <c r="F8" i="13" s="1"/>
  <c r="E41" i="14"/>
  <c r="F41" i="14" s="1"/>
  <c r="I41" i="14"/>
  <c r="H41" i="14" s="1"/>
  <c r="H10" i="13"/>
  <c r="E37" i="12"/>
  <c r="F37" i="12" s="1"/>
  <c r="I37" i="3"/>
  <c r="H37" i="3" s="1"/>
  <c r="I37" i="12"/>
  <c r="H37" i="12" s="1"/>
  <c r="E17" i="12"/>
  <c r="F17" i="12" s="1"/>
  <c r="G17" i="12"/>
  <c r="J17" i="12" s="1"/>
  <c r="I17" i="3"/>
  <c r="H17" i="3" s="1"/>
  <c r="I17" i="12"/>
  <c r="G18" i="14"/>
  <c r="J18" i="14" s="1"/>
  <c r="I18" i="14"/>
  <c r="I19" i="12"/>
  <c r="H19" i="12" s="1"/>
  <c r="I19" i="3"/>
  <c r="H19" i="3" s="1"/>
  <c r="I21" i="3"/>
  <c r="H21" i="3" s="1"/>
  <c r="I21" i="12"/>
  <c r="H21" i="12" s="1"/>
  <c r="E21" i="12"/>
  <c r="F21" i="12" s="1"/>
  <c r="E26" i="3"/>
  <c r="F26" i="3" s="1"/>
  <c r="I52" i="13"/>
  <c r="H52" i="13" s="1"/>
  <c r="E21" i="13"/>
  <c r="F21" i="13" s="1"/>
  <c r="I21" i="13"/>
  <c r="H21" i="13" s="1"/>
  <c r="E24" i="14"/>
  <c r="F24" i="14" s="1"/>
  <c r="I24" i="14"/>
  <c r="H24" i="14" s="1"/>
  <c r="E43" i="14"/>
  <c r="F43" i="14" s="1"/>
  <c r="I44" i="14"/>
  <c r="H44" i="14" s="1"/>
  <c r="G11" i="3"/>
  <c r="E44" i="13"/>
  <c r="F44" i="13" s="1"/>
  <c r="I44" i="13"/>
  <c r="H44" i="13" s="1"/>
  <c r="I44" i="3"/>
  <c r="H44" i="3" s="1"/>
  <c r="I44" i="12"/>
  <c r="H44" i="12" s="1"/>
  <c r="I27" i="14"/>
  <c r="H27" i="14" s="1"/>
  <c r="E40" i="14"/>
  <c r="F40" i="14" s="1"/>
  <c r="I40" i="14"/>
  <c r="H40" i="14" s="1"/>
  <c r="E33" i="14"/>
  <c r="F33" i="14" s="1"/>
  <c r="I33" i="14"/>
  <c r="H33" i="14" s="1"/>
  <c r="I49" i="3"/>
  <c r="H49" i="3" s="1"/>
  <c r="I49" i="12"/>
  <c r="H49" i="12" s="1"/>
  <c r="G16" i="14"/>
  <c r="J16" i="14" s="1"/>
  <c r="I16" i="14"/>
  <c r="G17" i="14"/>
  <c r="J17" i="14" s="1"/>
  <c r="I17" i="14"/>
  <c r="E12" i="14"/>
  <c r="F12" i="14" s="1"/>
  <c r="G12" i="14"/>
  <c r="J12" i="14" s="1"/>
  <c r="E35" i="14"/>
  <c r="F35" i="14" s="1"/>
  <c r="E53" i="12"/>
  <c r="F53" i="12" s="1"/>
  <c r="E53" i="14"/>
  <c r="F53" i="14" s="1"/>
  <c r="E52" i="12"/>
  <c r="F52" i="12" s="1"/>
  <c r="E11" i="3"/>
  <c r="F11" i="3" s="1"/>
  <c r="G16" i="3"/>
  <c r="H16" i="3" s="1"/>
  <c r="E11" i="12"/>
  <c r="F11" i="12" s="1"/>
  <c r="E27" i="14"/>
  <c r="F27" i="14" s="1"/>
  <c r="E26" i="12"/>
  <c r="F26" i="12" s="1"/>
  <c r="E20" i="13"/>
  <c r="F20" i="13" s="1"/>
  <c r="E44" i="14"/>
  <c r="F44" i="14" s="1"/>
  <c r="E10" i="14"/>
  <c r="F10" i="14" s="1"/>
  <c r="E18" i="14"/>
  <c r="F18" i="14" s="1"/>
  <c r="D55" i="12"/>
  <c r="E6" i="5" s="1"/>
  <c r="E19" i="5" s="1"/>
  <c r="E18" i="12"/>
  <c r="F18" i="12" s="1"/>
  <c r="E12" i="12"/>
  <c r="F12" i="12" s="1"/>
  <c r="E11" i="14"/>
  <c r="F11" i="14" s="1"/>
  <c r="D55" i="13"/>
  <c r="F6" i="5" s="1"/>
  <c r="F19" i="5" s="1"/>
  <c r="E28" i="13"/>
  <c r="F28" i="13" s="1"/>
  <c r="E19" i="13"/>
  <c r="F19" i="13" s="1"/>
  <c r="E36" i="13"/>
  <c r="F36" i="13" s="1"/>
  <c r="E35" i="12"/>
  <c r="F35" i="12" s="1"/>
  <c r="E42" i="14"/>
  <c r="F42" i="14" s="1"/>
  <c r="J14" i="13"/>
  <c r="E10" i="12"/>
  <c r="F10" i="12" s="1"/>
  <c r="G10" i="3"/>
  <c r="G18" i="3"/>
  <c r="E34" i="14"/>
  <c r="F34" i="14" s="1"/>
  <c r="D55" i="14"/>
  <c r="G6" i="5" s="1"/>
  <c r="G19" i="5" s="1"/>
  <c r="J7" i="13"/>
  <c r="J17" i="13"/>
  <c r="J15" i="13"/>
  <c r="J16" i="13"/>
  <c r="J4" i="12"/>
  <c r="F4" i="12"/>
  <c r="A52" i="3"/>
  <c r="C52" i="3"/>
  <c r="A53" i="3"/>
  <c r="C53" i="3"/>
  <c r="A50" i="3"/>
  <c r="C50" i="3"/>
  <c r="A51" i="3"/>
  <c r="C51" i="3"/>
  <c r="A47" i="3"/>
  <c r="C47" i="3"/>
  <c r="A48" i="3"/>
  <c r="C48" i="3"/>
  <c r="A49" i="3"/>
  <c r="C49" i="3"/>
  <c r="J54" i="1"/>
  <c r="H18" i="3" l="1"/>
  <c r="H10" i="3"/>
  <c r="H12" i="13"/>
  <c r="H14" i="12"/>
  <c r="H13" i="13"/>
  <c r="J13" i="13"/>
  <c r="H5" i="12"/>
  <c r="J5" i="13"/>
  <c r="H6" i="12"/>
  <c r="H16" i="13"/>
  <c r="H11" i="3"/>
  <c r="H6" i="13"/>
  <c r="J6" i="13"/>
  <c r="H16" i="14"/>
  <c r="H11" i="12"/>
  <c r="H12" i="12"/>
  <c r="H10" i="14"/>
  <c r="H18" i="14"/>
  <c r="H18" i="12"/>
  <c r="H8" i="12"/>
  <c r="H17" i="14"/>
  <c r="H8" i="13"/>
  <c r="H10" i="12"/>
  <c r="H12" i="14"/>
  <c r="H11" i="14"/>
  <c r="G55" i="13"/>
  <c r="F9" i="5" s="1"/>
  <c r="H17" i="12"/>
  <c r="G55" i="14"/>
  <c r="G9" i="5" s="1"/>
  <c r="F55" i="13"/>
  <c r="F8" i="5" s="1"/>
  <c r="F55" i="14"/>
  <c r="G8" i="5" s="1"/>
  <c r="E55" i="13"/>
  <c r="F7" i="5" s="1"/>
  <c r="F13" i="5" s="1"/>
  <c r="J55" i="12"/>
  <c r="E12" i="5" s="1"/>
  <c r="G55" i="12"/>
  <c r="E9" i="5" s="1"/>
  <c r="E55" i="12"/>
  <c r="E7" i="5" s="1"/>
  <c r="E13" i="5" s="1"/>
  <c r="F55" i="12"/>
  <c r="E8" i="5" s="1"/>
  <c r="J55" i="14"/>
  <c r="G12" i="5" s="1"/>
  <c r="E55" i="14"/>
  <c r="G7" i="5" s="1"/>
  <c r="G13" i="5" s="1"/>
  <c r="F14" i="5"/>
  <c r="G5" i="5"/>
  <c r="G18" i="5" s="1"/>
  <c r="G14" i="5"/>
  <c r="D14" i="5"/>
  <c r="F5" i="5"/>
  <c r="F18" i="5" s="1"/>
  <c r="E5" i="5"/>
  <c r="E18" i="5" s="1"/>
  <c r="E14" i="5"/>
  <c r="J31" i="3"/>
  <c r="J23" i="3"/>
  <c r="J15" i="3"/>
  <c r="J7" i="3"/>
  <c r="J42" i="3"/>
  <c r="J24" i="3"/>
  <c r="J5" i="3"/>
  <c r="J50" i="3"/>
  <c r="J34" i="3"/>
  <c r="J18" i="3"/>
  <c r="J49" i="3"/>
  <c r="J25" i="3"/>
  <c r="J9" i="3"/>
  <c r="J40" i="3"/>
  <c r="J8" i="3"/>
  <c r="J39" i="3"/>
  <c r="J46" i="3"/>
  <c r="J30" i="3"/>
  <c r="J14" i="3"/>
  <c r="J45" i="3"/>
  <c r="J29" i="3"/>
  <c r="J21" i="3"/>
  <c r="J52" i="3"/>
  <c r="J44" i="3"/>
  <c r="J36" i="3"/>
  <c r="J28" i="3"/>
  <c r="J20" i="3"/>
  <c r="J12" i="3"/>
  <c r="J26" i="3"/>
  <c r="J10" i="3"/>
  <c r="J41" i="3"/>
  <c r="J33" i="3"/>
  <c r="J17" i="3"/>
  <c r="J48" i="3"/>
  <c r="J32" i="3"/>
  <c r="J16" i="3"/>
  <c r="J47" i="3"/>
  <c r="J38" i="3"/>
  <c r="J22" i="3"/>
  <c r="J6" i="3"/>
  <c r="J53" i="3"/>
  <c r="J37" i="3"/>
  <c r="J13" i="3"/>
  <c r="J51" i="3"/>
  <c r="J43" i="3"/>
  <c r="J35" i="3"/>
  <c r="J27" i="3"/>
  <c r="J19" i="3"/>
  <c r="J11" i="3"/>
  <c r="D55" i="3"/>
  <c r="J55" i="13" l="1"/>
  <c r="F12" i="5" s="1"/>
  <c r="H55" i="12"/>
  <c r="E10" i="5" s="1"/>
  <c r="E15" i="5" s="1"/>
  <c r="E16" i="5" s="1"/>
  <c r="I55" i="14"/>
  <c r="G11" i="5" s="1"/>
  <c r="I55" i="12"/>
  <c r="E11" i="5" s="1"/>
  <c r="H55" i="14"/>
  <c r="G10" i="5" s="1"/>
  <c r="G15" i="5" s="1"/>
  <c r="G17" i="5" s="1"/>
  <c r="I55" i="13"/>
  <c r="F11" i="5" s="1"/>
  <c r="H55" i="13"/>
  <c r="F10" i="5" s="1"/>
  <c r="F15" i="5" s="1"/>
  <c r="F17" i="5" s="1"/>
  <c r="D6" i="5"/>
  <c r="D19" i="5" s="1"/>
  <c r="J55" i="3"/>
  <c r="D12" i="5" s="1"/>
  <c r="G55" i="3"/>
  <c r="D9" i="5" s="1"/>
  <c r="P33" i="7"/>
  <c r="P31" i="7"/>
  <c r="P29" i="7"/>
  <c r="P27" i="7"/>
  <c r="P25" i="7"/>
  <c r="P23" i="7"/>
  <c r="P21" i="7"/>
  <c r="G16" i="5" l="1"/>
  <c r="E17" i="5"/>
  <c r="I55" i="3"/>
  <c r="D11" i="5" s="1"/>
  <c r="F16" i="5"/>
  <c r="H55" i="3"/>
  <c r="D10" i="5" s="1"/>
  <c r="D15" i="5" s="1"/>
  <c r="D16" i="5" s="1"/>
  <c r="A5" i="3"/>
  <c r="C5" i="3"/>
  <c r="A6" i="3"/>
  <c r="C6" i="3"/>
  <c r="A7" i="3"/>
  <c r="C7" i="3"/>
  <c r="A8" i="3"/>
  <c r="C8" i="3"/>
  <c r="A9" i="3"/>
  <c r="C9" i="3"/>
  <c r="A10" i="3"/>
  <c r="C10" i="3"/>
  <c r="A11" i="3"/>
  <c r="C11" i="3"/>
  <c r="A12" i="3"/>
  <c r="C12" i="3"/>
  <c r="A13" i="3"/>
  <c r="C13" i="3"/>
  <c r="A14" i="3"/>
  <c r="C14" i="3"/>
  <c r="A15" i="3"/>
  <c r="C15" i="3"/>
  <c r="A16" i="3"/>
  <c r="C16" i="3"/>
  <c r="A17" i="3"/>
  <c r="C17" i="3"/>
  <c r="A18" i="3"/>
  <c r="C18" i="3"/>
  <c r="A19" i="3"/>
  <c r="C19" i="3"/>
  <c r="A20" i="3"/>
  <c r="C20" i="3"/>
  <c r="A21" i="3"/>
  <c r="C21" i="3"/>
  <c r="A22" i="3"/>
  <c r="C22" i="3"/>
  <c r="A23" i="3"/>
  <c r="C23" i="3"/>
  <c r="A24" i="3"/>
  <c r="C24" i="3"/>
  <c r="A25" i="3"/>
  <c r="C25" i="3"/>
  <c r="A26" i="3"/>
  <c r="C26" i="3"/>
  <c r="A27" i="3"/>
  <c r="C27" i="3"/>
  <c r="A28" i="3"/>
  <c r="C28" i="3"/>
  <c r="A29" i="3"/>
  <c r="C29" i="3"/>
  <c r="A30" i="3"/>
  <c r="C30" i="3"/>
  <c r="A31" i="3"/>
  <c r="C31" i="3"/>
  <c r="A32" i="3"/>
  <c r="C32" i="3"/>
  <c r="A33" i="3"/>
  <c r="C33" i="3"/>
  <c r="A34" i="3"/>
  <c r="C34" i="3"/>
  <c r="A35" i="3"/>
  <c r="C35" i="3"/>
  <c r="A36" i="3"/>
  <c r="C36" i="3"/>
  <c r="A37" i="3"/>
  <c r="C37" i="3"/>
  <c r="A38" i="3"/>
  <c r="C38" i="3"/>
  <c r="A39" i="3"/>
  <c r="C39" i="3"/>
  <c r="A40" i="3"/>
  <c r="C40" i="3"/>
  <c r="A41" i="3"/>
  <c r="C41" i="3"/>
  <c r="A42" i="3"/>
  <c r="C42" i="3"/>
  <c r="A43" i="3"/>
  <c r="C43" i="3"/>
  <c r="A44" i="3"/>
  <c r="C44" i="3"/>
  <c r="A45" i="3"/>
  <c r="C45" i="3"/>
  <c r="A46" i="3"/>
  <c r="C46" i="3"/>
  <c r="C4" i="3"/>
  <c r="A4" i="3"/>
  <c r="D18" i="5"/>
  <c r="O54" i="1"/>
  <c r="N54" i="1"/>
  <c r="M54" i="1"/>
  <c r="L54" i="1"/>
  <c r="K54" i="1"/>
  <c r="E55" i="3" l="1"/>
  <c r="F55" i="3"/>
  <c r="D8" i="5" s="1"/>
  <c r="D7" i="5" l="1"/>
  <c r="D13" i="5" s="1"/>
  <c r="D17" i="5" s="1"/>
</calcChain>
</file>

<file path=xl/sharedStrings.xml><?xml version="1.0" encoding="utf-8"?>
<sst xmlns="http://schemas.openxmlformats.org/spreadsheetml/2006/main" count="538" uniqueCount="183">
  <si>
    <r>
      <t xml:space="preserve">Càlcul de necessitats d'energia fotovoltaica
</t>
    </r>
    <r>
      <rPr>
        <sz val="16"/>
        <color rgb="FF9E1732"/>
        <rFont val="Neue Haas Grotesk Text Pro"/>
        <family val="2"/>
      </rPr>
      <t xml:space="preserve">
A partir dels consums elèctrics municipals</t>
    </r>
  </si>
  <si>
    <t>Data actualització:</t>
  </si>
  <si>
    <t>OBJECTIU</t>
  </si>
  <si>
    <t>Aquesta pretén ser una eina de planificació municipal, mitjançant la que es pot fer una estimació de la potència fotovoltaica necessària per cobrir els consums elèctrics municipals. A partir d'una suposició dels percentatge de producció que s'autoconsumeix instantàniament pels diferents consumidors també valorar gràficament quin escenari interessa més al municipi.</t>
  </si>
  <si>
    <t>FUNCIONAMENT GENERAL</t>
  </si>
  <si>
    <t>1. S'introdueixen les dades de consums elèctrics anuals dels diferents subministraments elèctrics municipals: equipaments i/o quadres d'enllumenat públic.</t>
  </si>
  <si>
    <t>2. S'introdueixen els criteris que tindrà en compte cada escenari comparatiu.</t>
  </si>
  <si>
    <t>3. Es mostren els resultats de cada escenari en una pestanya diferenciada i per últim un resum compartatiu de tots els escenaris.</t>
  </si>
  <si>
    <t>INSTRUCCIONS GENERALS D'ÚS</t>
  </si>
  <si>
    <t>Full on s'introdueixen les dades dels consums elèctrics anuals dels equipaments o subministraments municipals.</t>
  </si>
  <si>
    <t>valors a introduir obligatoris</t>
  </si>
  <si>
    <t>valors adicionals que es poden introduir optativament</t>
  </si>
  <si>
    <t>Full on s'introdueixen els criteris que es volen tenir en compte als escenaris, en concret:
- % de Producció respecte el consum total
- % d'autoconsum: quina fracció de l'energia produïda es consumirà instantàniament per l'equipament/subministrament. Si es tracta d'un quadre d'enllumenat, es considerarà un % d'autoconsum nul.</t>
  </si>
  <si>
    <t>Fulls on es mostren els resultats numèrics de cada escenari.</t>
  </si>
  <si>
    <t>Full on es mostra un quadre-resum i una visualització gràfica dels resultats dels diferents escenaris</t>
  </si>
  <si>
    <t>INTRODUCCIÓ DE DADES</t>
  </si>
  <si>
    <t>De consums elèctrics municipals</t>
  </si>
  <si>
    <t>Num equip./subm.</t>
  </si>
  <si>
    <t>Tipus subministrament</t>
  </si>
  <si>
    <t>Nom equipament</t>
  </si>
  <si>
    <t>CUPS</t>
  </si>
  <si>
    <t>DIRECCIÓ SUBMINISTRAMENT</t>
  </si>
  <si>
    <t>REF. CATASTRAL</t>
  </si>
  <si>
    <t>TARIFA</t>
  </si>
  <si>
    <t>POT P6</t>
  </si>
  <si>
    <t>MAX max</t>
  </si>
  <si>
    <t>CONSUM P1</t>
  </si>
  <si>
    <t>CONSUM P2</t>
  </si>
  <si>
    <t>CONSUM P3</t>
  </si>
  <si>
    <t>CONSUM P4</t>
  </si>
  <si>
    <t>CONSUM P5</t>
  </si>
  <si>
    <t>CONSUM P6</t>
  </si>
  <si>
    <t>CONSUM TOTAL</t>
  </si>
  <si>
    <t>Equipament</t>
  </si>
  <si>
    <t>ES0031408481147001HA0F </t>
  </si>
  <si>
    <t>CL DR.TRUETA 9 MAGATZEM</t>
  </si>
  <si>
    <t>2.0TD</t>
  </si>
  <si>
    <t>ES0031405892204001ST0F </t>
  </si>
  <si>
    <t> CL FONT DEL COMU EDI S/N E.P</t>
  </si>
  <si>
    <t>ES0031405800416001PD0F </t>
  </si>
  <si>
    <t> CL MTRE LLADOS NAV SNESCORXADOR</t>
  </si>
  <si>
    <t>ES0031405800254002WE0F </t>
  </si>
  <si>
    <t>CL ESGLESIA 4 1°</t>
  </si>
  <si>
    <t>ES0031405902549001DZ0F </t>
  </si>
  <si>
    <t>BO C FONTIMARCH ZNA S/N E-PUBLIC</t>
  </si>
  <si>
    <t>ES0031405669648001CG0F </t>
  </si>
  <si>
    <t>BO C GRAS BAIX S/N</t>
  </si>
  <si>
    <t>ES0031405800342001BT0F </t>
  </si>
  <si>
    <t>CL CATALUNYA S/N 7209.PSPORT</t>
  </si>
  <si>
    <t>3.0TD</t>
  </si>
  <si>
    <t>ES0031408477372001SQ0F </t>
  </si>
  <si>
    <t>CL ANSELM CLAVE CAL PONSA</t>
  </si>
  <si>
    <t>ES0031408469417001CA0F </t>
  </si>
  <si>
    <t>CL PROGRES DEIXALLERIA.</t>
  </si>
  <si>
    <t>ES0031405825256001CD0F </t>
  </si>
  <si>
    <t>BO CAN MARCET S/N E</t>
  </si>
  <si>
    <t>ES0031405669649001VS0F </t>
  </si>
  <si>
    <t>BO C GRAS BAIX S/N.EP</t>
  </si>
  <si>
    <t>ES0031408302923001DJ0F </t>
  </si>
  <si>
    <t> PZ CAL FIGUERES EDI ENLLUMENAT</t>
  </si>
  <si>
    <t>ES0031408400950001SR0F </t>
  </si>
  <si>
    <t>CL ST ANTONI AP C/ ONCE-LLEV</t>
  </si>
  <si>
    <t>ES0031405800417001MC0F </t>
  </si>
  <si>
    <t>CL MTRE LLADOS 1 LOCAL.OFICINES</t>
  </si>
  <si>
    <t>ES0031405951679001VJ0F</t>
  </si>
  <si>
    <t>CL ESGLESIA EDI S/N EP</t>
  </si>
  <si>
    <t>Quadre EP</t>
  </si>
  <si>
    <t>ES0031405823740001WP0F </t>
  </si>
  <si>
    <t>UR SERRA ALTA S/N 7497.EP</t>
  </si>
  <si>
    <t>ES0031405800351001BF0F </t>
  </si>
  <si>
    <t>CL DOCTOR ELADI CONDE S/N 6544.E.P</t>
  </si>
  <si>
    <t>ES0031405800182001TB0F </t>
  </si>
  <si>
    <t>CL MAJOR S/N.JUNTO.ET 6129</t>
  </si>
  <si>
    <t>ES0031408184229001WC0F </t>
  </si>
  <si>
    <t>PZ CAL FIGUERES EDI DISPENSARI</t>
  </si>
  <si>
    <t>ES0031408423758002EY0F </t>
  </si>
  <si>
    <t>CL MTRE LLADOS 1 AJUNTAMENT.ESCOLA MUSIC</t>
  </si>
  <si>
    <t>ES0031405800423001JV0F </t>
  </si>
  <si>
    <t>CL MTRE LLADOS 8 LOCAL.ESCOLES</t>
  </si>
  <si>
    <t>ES0031405823739001GC0F </t>
  </si>
  <si>
    <t>UR SERRA ALTA S/N 7496.EP.</t>
  </si>
  <si>
    <t>ES0031405823738001FD0F </t>
  </si>
  <si>
    <t>UR SERRA ALTA S/N 7495.EP.</t>
  </si>
  <si>
    <t>ES0031405823741001EL0F </t>
  </si>
  <si>
    <t>UR SERRA ALTA S/N 7498.EP</t>
  </si>
  <si>
    <t>ES0031405906910001YF0F </t>
  </si>
  <si>
    <t>CL PROGRES-CAMP SERRA 1 LOCAL</t>
  </si>
  <si>
    <t>ES0031408443679001HS0F </t>
  </si>
  <si>
    <t>RD PONENT 26 (QC1)</t>
  </si>
  <si>
    <t>ES0031405686355001WB0F </t>
  </si>
  <si>
    <t> CL ZONA ROVIRALTA S/N 7293</t>
  </si>
  <si>
    <t>ES0031408531876001HL0F </t>
  </si>
  <si>
    <t>CL ANGEL GUIMERA 1 CENTRE DIA.CENTRE DIA</t>
  </si>
  <si>
    <t>ES0031408279282001XT0F </t>
  </si>
  <si>
    <t>CL PIEROLA-URB FOSALBA LOCAL CENTR.SOCIAL</t>
  </si>
  <si>
    <t xml:space="preserve">ES0031408432466001GK0F </t>
  </si>
  <si>
    <t>CL MTRE LLADOS 3 D. POLICIALS.LOCAL.</t>
  </si>
  <si>
    <t>ES0031408469548002BL0F </t>
  </si>
  <si>
    <t> CL AURELI ROVIRALTA AV. HOSTALET.ALBERG.</t>
  </si>
  <si>
    <t>ES0031405800495001QG0F </t>
  </si>
  <si>
    <t>CL CASETA DE L'HORT S/N 7209.EP.</t>
  </si>
  <si>
    <t>ES0031405913130001FW0F </t>
  </si>
  <si>
    <t>CL MONTSERRAT JTO S/N ET.APU</t>
  </si>
  <si>
    <t>ES0031408131878001KX0F </t>
  </si>
  <si>
    <t> CL DR.TRUETA EP.</t>
  </si>
  <si>
    <t>ES0031408394565001QP0F </t>
  </si>
  <si>
    <t>RD PONENT ESQ C. ESLESIA.</t>
  </si>
  <si>
    <t>ES0031408458290001LN0F </t>
  </si>
  <si>
    <t>CL PROGRES AP C/ CIENCIA.</t>
  </si>
  <si>
    <t>ES0031408405527001LR0F </t>
  </si>
  <si>
    <t>CL AFORES CAMP FUTBOL.</t>
  </si>
  <si>
    <t>ES0031408469548001BH0F </t>
  </si>
  <si>
    <t>CL AURELI ROVIRALTA AV. HOSTALET.MUSEU.</t>
  </si>
  <si>
    <t>ES0031405800415001XK0F </t>
  </si>
  <si>
    <t>CL NARCIS MONTURIOL S/N 7386.ENLLUMENAT P.</t>
  </si>
  <si>
    <t>ES0031408107416001EM0F </t>
  </si>
  <si>
    <t>CL ITALIA -URB SERRA ALTA A.P.</t>
  </si>
  <si>
    <t>ES0031408253957001WR0F </t>
  </si>
  <si>
    <t>CL SALVADOR ESPRIU MOTOR ESCOLA.</t>
  </si>
  <si>
    <t>ES0031405889823001QY0F </t>
  </si>
  <si>
    <t>CL PAU CASALS EDI S/N PISCINA</t>
  </si>
  <si>
    <t>ES0031408184229002WK0F </t>
  </si>
  <si>
    <t>PZ CAL FIGUERES LOCAL EDI DISPENSARI.CENTRE CIVIC.</t>
  </si>
  <si>
    <t>Criteris pels diferents escenaris</t>
  </si>
  <si>
    <t>Municipi</t>
  </si>
  <si>
    <t>Vinyal de Dalt</t>
  </si>
  <si>
    <t>Inici</t>
  </si>
  <si>
    <t>Final</t>
  </si>
  <si>
    <t>Especificar manualment els %
(en cas contrari deixar en blanc)</t>
  </si>
  <si>
    <t>Període global d'anàlisi</t>
  </si>
  <si>
    <t>% cobertura global</t>
  </si>
  <si>
    <t>% autoconsum instantani equipaments</t>
  </si>
  <si>
    <t>% abocament sense compensar</t>
  </si>
  <si>
    <t>% autoconsum manual</t>
  </si>
  <si>
    <t>% abocament manual</t>
  </si>
  <si>
    <t>Escenari 1</t>
  </si>
  <si>
    <t>Escenari 2</t>
  </si>
  <si>
    <t>Escenari 3</t>
  </si>
  <si>
    <t>Escenari 4</t>
  </si>
  <si>
    <t>Paràmetres fotovoltaica</t>
  </si>
  <si>
    <t>(valors proposats, es poden canviar manualment)</t>
  </si>
  <si>
    <t>Producció específica</t>
  </si>
  <si>
    <t>Potència espaial (kWp/m2)</t>
  </si>
  <si>
    <t>Preu compra energia</t>
  </si>
  <si>
    <t>Preu compensació excedents</t>
  </si>
  <si>
    <t>&lt; 100 kWp</t>
  </si>
  <si>
    <t>entre 100 i 1.000 kWp</t>
  </si>
  <si>
    <t>&lt; 1.000 kWp</t>
  </si>
  <si>
    <t>Rati inversió (€/kWp)</t>
  </si>
  <si>
    <t>RESULTATS</t>
  </si>
  <si>
    <t>nº</t>
  </si>
  <si>
    <t>Producció</t>
  </si>
  <si>
    <t>Potència pic</t>
  </si>
  <si>
    <t>Superfície FV necessària</t>
  </si>
  <si>
    <t>Autoconsum instantani</t>
  </si>
  <si>
    <t>Energia compensada</t>
  </si>
  <si>
    <t>Abocament a xarxa sense compensar</t>
  </si>
  <si>
    <t>Consum de xarxa</t>
  </si>
  <si>
    <t xml:space="preserve">TOTAL  </t>
  </si>
  <si>
    <t>Resum</t>
  </si>
  <si>
    <t>ESCENARI 1</t>
  </si>
  <si>
    <t>ESCENARI 2</t>
  </si>
  <si>
    <t>ESCENARI 3</t>
  </si>
  <si>
    <t>ESCENARI 4</t>
  </si>
  <si>
    <t>Dades d'entrada</t>
  </si>
  <si>
    <t>Consum total</t>
  </si>
  <si>
    <t>Producció esperada</t>
  </si>
  <si>
    <t>Potencia pic instal·lació</t>
  </si>
  <si>
    <t>Superfície de FV necessària</t>
  </si>
  <si>
    <t>Balanç energètic</t>
  </si>
  <si>
    <t>Excedents compensats</t>
  </si>
  <si>
    <t>Excedents abocats a xarxa sense compensar</t>
  </si>
  <si>
    <t>Consum de xarxa amb FV</t>
  </si>
  <si>
    <t>Balanç econòmic</t>
  </si>
  <si>
    <t>Inversió (€)</t>
  </si>
  <si>
    <t>Cost energia anual (inicial)</t>
  </si>
  <si>
    <t>Estalvi anual (€)</t>
  </si>
  <si>
    <t>Cost energia anual (amb inversió)</t>
  </si>
  <si>
    <t>Rati simple: inversió / estalvi (anys)</t>
  </si>
  <si>
    <t>Balanç ambiental</t>
  </si>
  <si>
    <t>Emissions CO2 actuals</t>
  </si>
  <si>
    <t>Emissions CO2 estalviades</t>
  </si>
  <si>
    <t>TIPUS DE SUBMINISTRAMENT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</si>
</sst>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#,##0.00\ &quot;kWh&quot;"/>
    <numFmt numFmtId="165" formatCode="#,##0.00\ &quot;kWp&quot;"/>
    <numFmt numFmtId="166" formatCode="#,##0\ &quot;kWh/any&quot;"/>
    <numFmt numFmtId="167" formatCode="#,##0.00\ &quot;€&quot;"/>
    <numFmt numFmtId="168" formatCode="#,##0.00\ &quot;anys&quot;"/>
    <numFmt numFmtId="169" formatCode="#,##0\ &quot;Tn&quot;"/>
    <numFmt numFmtId="170" formatCode="#,##0.0\ &quot;m2&quot;"/>
    <numFmt numFmtId="171" formatCode="#,##0\ &quot;kWh&quot;"/>
    <numFmt numFmtId="172" formatCode="[$-F800]dddd\,\ mmmm\ dd\,\ yyyy"/>
    <numFmt numFmtId="173" formatCode="#,##0&quot; h/any&quot;"/>
    <numFmt numFmtId="174" formatCode="h:mm;@"/>
    <numFmt numFmtId="175" formatCode="[$-F400]h:mm:ss\ AM/PM"/>
    <numFmt numFmtId="176" formatCode="#,##0\ &quot;kWh/kWp&quot;"/>
    <numFmt numFmtId="177" formatCode="0.000"/>
    <numFmt numFmtId="178" formatCode="#,##0\ &quot;€/kWp&quot;"/>
    <numFmt numFmtId="179" formatCode="#,##0\ &quot;m²&quot;"/>
  </numFmts>
  <fonts count="62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Calibri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24"/>
      <color theme="1"/>
      <name val="Calibri"/>
      <family val="2"/>
    </font>
    <font>
      <b/>
      <sz val="20"/>
      <color rgb="FF9E1732"/>
      <name val="Neue Haas Grotesk Text Pro"/>
      <family val="2"/>
    </font>
    <font>
      <sz val="16"/>
      <color rgb="FF9E1732"/>
      <name val="Neue Haas Grotesk Text Pro"/>
      <family val="2"/>
    </font>
    <font>
      <b/>
      <sz val="20"/>
      <color rgb="FF9E1732"/>
      <name val="Neue Haas Grotesk Text Pro"/>
    </font>
    <font>
      <b/>
      <sz val="24"/>
      <color theme="4"/>
      <name val="Calibri"/>
      <family val="2"/>
    </font>
    <font>
      <sz val="16"/>
      <color rgb="FF9E1732"/>
      <name val="Neue Haas Grotesk Text Pro"/>
    </font>
    <font>
      <b/>
      <sz val="16"/>
      <color theme="4"/>
      <name val="Calibri"/>
      <family val="2"/>
    </font>
    <font>
      <sz val="18"/>
      <color theme="4"/>
      <name val="Calibri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</font>
    <font>
      <sz val="11"/>
      <color rgb="FFFF0000"/>
      <name val="Calibri"/>
      <family val="2"/>
    </font>
    <font>
      <sz val="16"/>
      <color theme="1"/>
      <name val="Calibri"/>
      <family val="2"/>
    </font>
    <font>
      <b/>
      <sz val="12"/>
      <color theme="1"/>
      <name val="Neue Haas Grotesk Text Pro"/>
    </font>
    <font>
      <b/>
      <sz val="16"/>
      <color rgb="FF9E1732"/>
      <name val="Neue Haas Grotesk Text Pro"/>
    </font>
    <font>
      <sz val="11"/>
      <color theme="1"/>
      <name val="Neue Haas Grotesk Text Pro"/>
      <family val="2"/>
    </font>
    <font>
      <sz val="16"/>
      <color theme="1"/>
      <name val="Neue Haas Grotesk Text Pro"/>
    </font>
    <font>
      <b/>
      <sz val="16"/>
      <color rgb="FF9E1732"/>
      <name val="Neue Haas Grotesk Text Pro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u/>
      <sz val="10"/>
      <color indexed="12"/>
      <name val="Arial"/>
      <family val="2"/>
    </font>
    <font>
      <b/>
      <u/>
      <sz val="11"/>
      <color indexed="12"/>
      <name val="Calibri"/>
      <family val="2"/>
    </font>
    <font>
      <b/>
      <sz val="12"/>
      <color theme="9"/>
      <name val="Calibri"/>
      <family val="2"/>
    </font>
    <font>
      <u/>
      <sz val="11"/>
      <color theme="9"/>
      <name val="Calibri"/>
      <family val="2"/>
    </font>
    <font>
      <b/>
      <sz val="11"/>
      <color theme="9"/>
      <name val="Calibri"/>
      <family val="2"/>
    </font>
    <font>
      <sz val="12"/>
      <color theme="9"/>
      <name val="Calibri"/>
      <family val="2"/>
    </font>
    <font>
      <sz val="11"/>
      <color rgb="FFFF0000"/>
      <name val="Neue Haas Grotesk Text Pro"/>
      <family val="2"/>
    </font>
    <font>
      <sz val="16"/>
      <color rgb="FFFF0000"/>
      <name val="Neue Haas Grotesk Text Pro"/>
      <family val="2"/>
    </font>
    <font>
      <b/>
      <sz val="14"/>
      <color theme="1"/>
      <name val="Neue Haas Grotesk Text Pro"/>
      <family val="2"/>
    </font>
    <font>
      <sz val="14"/>
      <color theme="1"/>
      <name val="Calibri"/>
      <family val="2"/>
      <scheme val="minor"/>
    </font>
    <font>
      <sz val="14"/>
      <color theme="1"/>
      <name val="Neue Haas Grotesk Text Pro"/>
      <family val="2"/>
    </font>
    <font>
      <i/>
      <sz val="14"/>
      <color theme="1"/>
      <name val="Neue Haas Grotesk Text Pro"/>
      <family val="2"/>
    </font>
    <font>
      <b/>
      <sz val="11"/>
      <color theme="1"/>
      <name val="Neue Haas Grotesk Text Pro"/>
      <family val="2"/>
    </font>
    <font>
      <sz val="10"/>
      <color theme="1"/>
      <name val="Neue Haas Grotesk Text Pro"/>
      <family val="2"/>
    </font>
    <font>
      <sz val="8"/>
      <color theme="1"/>
      <name val="Neue Haas Grotesk Text Pro"/>
      <family val="2"/>
    </font>
    <font>
      <sz val="10"/>
      <color theme="0" tint="-4.9989318521683403E-2"/>
      <name val="Neue Haas Grotesk Text Pro"/>
      <family val="2"/>
    </font>
    <font>
      <b/>
      <sz val="10"/>
      <color theme="1"/>
      <name val="Neue Haas Grotesk Text Pro"/>
      <family val="2"/>
    </font>
    <font>
      <b/>
      <sz val="20"/>
      <color theme="1"/>
      <name val="Neue Haas Grotesk Text Pro"/>
      <family val="2"/>
    </font>
    <font>
      <sz val="16"/>
      <color theme="1"/>
      <name val="Neue Haas Grotesk Text Pro"/>
      <family val="2"/>
    </font>
    <font>
      <b/>
      <sz val="18"/>
      <color theme="1"/>
      <name val="Neue Haas Grotesk Text Pro"/>
      <family val="2"/>
    </font>
    <font>
      <sz val="18"/>
      <color theme="1"/>
      <name val="Neue Haas Grotesk Text Pro"/>
      <family val="2"/>
    </font>
    <font>
      <b/>
      <sz val="11"/>
      <color theme="1"/>
      <name val="Calibri"/>
      <family val="2"/>
      <scheme val="minor"/>
    </font>
    <font>
      <sz val="9"/>
      <name val="Neue Haas Grotesk Text Pro"/>
      <family val="2"/>
    </font>
    <font>
      <sz val="11"/>
      <name val="Neue Haas Grotesk Text Pro"/>
      <family val="2"/>
    </font>
    <font>
      <sz val="10"/>
      <color rgb="FFFF0000"/>
      <name val="Neue Haas Grotesk Text Pro"/>
      <family val="2"/>
    </font>
    <font>
      <i/>
      <sz val="11"/>
      <color theme="1"/>
      <name val="Neue Haas Grotesk Text Pro"/>
      <family val="2"/>
    </font>
    <font>
      <b/>
      <sz val="11"/>
      <name val="Neue Haas Grotesk Text Pro"/>
      <family val="2"/>
    </font>
    <font>
      <sz val="16"/>
      <name val="Neue Haas Grotesk Text Pro"/>
      <family val="2"/>
    </font>
  </fonts>
  <fills count="2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9E17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7" fillId="2" borderId="0" applyNumberFormat="0" applyBorder="0" applyAlignment="0" applyProtection="0"/>
    <xf numFmtId="0" fontId="8" fillId="0" borderId="0"/>
    <xf numFmtId="0" fontId="10" fillId="0" borderId="0"/>
    <xf numFmtId="9" fontId="9" fillId="0" borderId="0" applyFill="0" applyBorder="0" applyAlignment="0" applyProtection="0"/>
    <xf numFmtId="9" fontId="1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9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282"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" xfId="0" applyFont="1" applyBorder="1"/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2" xfId="1" applyFont="1" applyFill="1" applyBorder="1"/>
    <xf numFmtId="0" fontId="6" fillId="0" borderId="2" xfId="1" applyFont="1" applyFill="1" applyBorder="1" applyAlignment="1">
      <alignment horizontal="center" vertical="center"/>
    </xf>
    <xf numFmtId="4" fontId="6" fillId="0" borderId="2" xfId="1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/>
    </xf>
    <xf numFmtId="3" fontId="6" fillId="0" borderId="12" xfId="1" applyNumberFormat="1" applyFont="1" applyFill="1" applyBorder="1" applyAlignment="1">
      <alignment horizontal="center" vertical="center"/>
    </xf>
    <xf numFmtId="0" fontId="4" fillId="0" borderId="13" xfId="1" applyFont="1" applyFill="1" applyBorder="1"/>
    <xf numFmtId="0" fontId="6" fillId="0" borderId="13" xfId="1" applyFont="1" applyFill="1" applyBorder="1" applyAlignment="1">
      <alignment horizontal="center" vertical="center"/>
    </xf>
    <xf numFmtId="4" fontId="6" fillId="0" borderId="13" xfId="1" applyNumberFormat="1" applyFont="1" applyFill="1" applyBorder="1" applyAlignment="1">
      <alignment horizontal="center" vertical="center"/>
    </xf>
    <xf numFmtId="3" fontId="6" fillId="0" borderId="13" xfId="1" applyNumberFormat="1" applyFont="1" applyFill="1" applyBorder="1" applyAlignment="1">
      <alignment horizontal="center" vertical="center"/>
    </xf>
    <xf numFmtId="3" fontId="6" fillId="0" borderId="15" xfId="1" applyNumberFormat="1" applyFont="1" applyFill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9" xfId="0" applyFont="1" applyBorder="1"/>
    <xf numFmtId="0" fontId="4" fillId="0" borderId="11" xfId="0" applyFont="1" applyBorder="1"/>
    <xf numFmtId="2" fontId="6" fillId="0" borderId="20" xfId="0" applyNumberFormat="1" applyFont="1" applyBorder="1" applyAlignment="1">
      <alignment horizontal="center" vertical="center"/>
    </xf>
    <xf numFmtId="2" fontId="6" fillId="0" borderId="20" xfId="1" applyNumberFormat="1" applyFont="1" applyFill="1" applyBorder="1" applyAlignment="1">
      <alignment horizontal="center" vertical="center"/>
    </xf>
    <xf numFmtId="2" fontId="6" fillId="0" borderId="21" xfId="1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70" fontId="4" fillId="0" borderId="2" xfId="0" applyNumberFormat="1" applyFont="1" applyBorder="1" applyAlignment="1">
      <alignment horizontal="center" vertical="center"/>
    </xf>
    <xf numFmtId="0" fontId="0" fillId="6" borderId="0" xfId="0" applyFill="1"/>
    <xf numFmtId="0" fontId="0" fillId="7" borderId="0" xfId="0" applyFill="1"/>
    <xf numFmtId="0" fontId="12" fillId="6" borderId="0" xfId="0" applyFont="1" applyFill="1"/>
    <xf numFmtId="0" fontId="12" fillId="8" borderId="0" xfId="0" applyFont="1" applyFill="1"/>
    <xf numFmtId="0" fontId="12" fillId="7" borderId="0" xfId="0" applyFont="1" applyFill="1"/>
    <xf numFmtId="0" fontId="12" fillId="9" borderId="0" xfId="0" applyFont="1" applyFill="1"/>
    <xf numFmtId="0" fontId="12" fillId="10" borderId="0" xfId="0" applyFont="1" applyFill="1"/>
    <xf numFmtId="0" fontId="16" fillId="10" borderId="0" xfId="0" applyFont="1" applyFill="1" applyAlignment="1">
      <alignment horizontal="center" vertical="center" wrapText="1"/>
    </xf>
    <xf numFmtId="0" fontId="16" fillId="9" borderId="0" xfId="0" applyFont="1" applyFill="1" applyAlignment="1">
      <alignment vertical="center" wrapText="1"/>
    </xf>
    <xf numFmtId="0" fontId="16" fillId="10" borderId="0" xfId="0" applyFont="1" applyFill="1" applyAlignment="1">
      <alignment vertical="center" wrapText="1"/>
    </xf>
    <xf numFmtId="0" fontId="16" fillId="6" borderId="0" xfId="0" applyFont="1" applyFill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8" fillId="10" borderId="0" xfId="0" applyFont="1" applyFill="1" applyAlignment="1">
      <alignment vertical="center" wrapText="1"/>
    </xf>
    <xf numFmtId="14" fontId="17" fillId="10" borderId="0" xfId="0" applyNumberFormat="1" applyFont="1" applyFill="1" applyAlignment="1">
      <alignment vertical="center"/>
    </xf>
    <xf numFmtId="0" fontId="19" fillId="10" borderId="0" xfId="0" applyFont="1" applyFill="1" applyAlignment="1">
      <alignment horizontal="right" vertical="center" wrapText="1"/>
    </xf>
    <xf numFmtId="14" fontId="19" fillId="10" borderId="0" xfId="0" applyNumberFormat="1" applyFont="1" applyFill="1" applyAlignment="1">
      <alignment vertical="center" wrapText="1"/>
    </xf>
    <xf numFmtId="0" fontId="22" fillId="8" borderId="0" xfId="0" applyFont="1" applyFill="1"/>
    <xf numFmtId="0" fontId="9" fillId="7" borderId="0" xfId="7" applyFill="1"/>
    <xf numFmtId="0" fontId="31" fillId="7" borderId="0" xfId="7" applyFont="1" applyFill="1"/>
    <xf numFmtId="0" fontId="33" fillId="7" borderId="0" xfId="7" applyFont="1" applyFill="1"/>
    <xf numFmtId="0" fontId="35" fillId="7" borderId="0" xfId="8" applyFont="1" applyFill="1" applyAlignment="1" applyProtection="1"/>
    <xf numFmtId="0" fontId="29" fillId="7" borderId="0" xfId="6" applyFill="1"/>
    <xf numFmtId="172" fontId="31" fillId="7" borderId="0" xfId="7" quotePrefix="1" applyNumberFormat="1" applyFont="1" applyFill="1"/>
    <xf numFmtId="0" fontId="36" fillId="7" borderId="0" xfId="7" applyFont="1" applyFill="1"/>
    <xf numFmtId="0" fontId="37" fillId="7" borderId="0" xfId="8" applyFont="1" applyFill="1" applyAlignment="1" applyProtection="1"/>
    <xf numFmtId="0" fontId="38" fillId="7" borderId="0" xfId="7" applyFont="1" applyFill="1"/>
    <xf numFmtId="0" fontId="39" fillId="7" borderId="0" xfId="7" applyFont="1" applyFill="1" applyAlignment="1">
      <alignment horizontal="left" vertical="top" wrapText="1"/>
    </xf>
    <xf numFmtId="0" fontId="21" fillId="8" borderId="0" xfId="9" applyFont="1" applyFill="1" applyAlignment="1">
      <alignment horizontal="right"/>
    </xf>
    <xf numFmtId="0" fontId="23" fillId="8" borderId="0" xfId="9" applyFont="1" applyFill="1"/>
    <xf numFmtId="0" fontId="24" fillId="8" borderId="0" xfId="9" applyFont="1" applyFill="1" applyAlignment="1">
      <alignment horizontal="right"/>
    </xf>
    <xf numFmtId="0" fontId="25" fillId="8" borderId="0" xfId="9" applyFont="1" applyFill="1" applyAlignment="1">
      <alignment horizontal="right" vertical="top"/>
    </xf>
    <xf numFmtId="0" fontId="25" fillId="8" borderId="0" xfId="9" applyFont="1" applyFill="1" applyAlignment="1">
      <alignment horizontal="right"/>
    </xf>
    <xf numFmtId="0" fontId="25" fillId="8" borderId="0" xfId="9" applyFont="1" applyFill="1" applyAlignment="1">
      <alignment horizontal="right" vertical="top" wrapText="1"/>
    </xf>
    <xf numFmtId="0" fontId="27" fillId="8" borderId="0" xfId="9" applyFont="1" applyFill="1"/>
    <xf numFmtId="0" fontId="40" fillId="8" borderId="0" xfId="9" applyFont="1" applyFill="1"/>
    <xf numFmtId="0" fontId="40" fillId="8" borderId="0" xfId="0" applyFont="1" applyFill="1" applyAlignment="1">
      <alignment vertical="top"/>
    </xf>
    <xf numFmtId="0" fontId="40" fillId="8" borderId="0" xfId="0" applyFont="1" applyFill="1"/>
    <xf numFmtId="0" fontId="41" fillId="8" borderId="0" xfId="9" applyFont="1" applyFill="1"/>
    <xf numFmtId="0" fontId="40" fillId="8" borderId="0" xfId="9" applyFont="1" applyFill="1" applyAlignment="1">
      <alignment vertical="top"/>
    </xf>
    <xf numFmtId="0" fontId="41" fillId="8" borderId="0" xfId="9" applyFont="1" applyFill="1" applyAlignment="1">
      <alignment vertical="top"/>
    </xf>
    <xf numFmtId="0" fontId="42" fillId="13" borderId="0" xfId="0" applyFont="1" applyFill="1"/>
    <xf numFmtId="0" fontId="43" fillId="7" borderId="0" xfId="0" applyFont="1" applyFill="1"/>
    <xf numFmtId="0" fontId="44" fillId="3" borderId="0" xfId="0" applyFont="1" applyFill="1"/>
    <xf numFmtId="0" fontId="45" fillId="3" borderId="0" xfId="0" applyFont="1" applyFill="1"/>
    <xf numFmtId="0" fontId="44" fillId="6" borderId="0" xfId="0" applyFont="1" applyFill="1"/>
    <xf numFmtId="0" fontId="26" fillId="6" borderId="0" xfId="0" applyFont="1" applyFill="1"/>
    <xf numFmtId="0" fontId="26" fillId="10" borderId="0" xfId="0" applyFont="1" applyFill="1"/>
    <xf numFmtId="0" fontId="46" fillId="10" borderId="0" xfId="0" applyFont="1" applyFill="1" applyAlignment="1">
      <alignment horizontal="center" vertical="center"/>
    </xf>
    <xf numFmtId="0" fontId="46" fillId="10" borderId="0" xfId="0" applyFont="1" applyFill="1" applyAlignment="1">
      <alignment vertical="center"/>
    </xf>
    <xf numFmtId="0" fontId="26" fillId="3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right" vertical="center" wrapText="1"/>
    </xf>
    <xf numFmtId="0" fontId="46" fillId="10" borderId="0" xfId="0" applyFont="1" applyFill="1" applyAlignment="1">
      <alignment horizontal="right" vertical="center"/>
    </xf>
    <xf numFmtId="14" fontId="47" fillId="3" borderId="0" xfId="0" applyNumberFormat="1" applyFont="1" applyFill="1" applyAlignment="1">
      <alignment horizontal="center" vertical="center"/>
    </xf>
    <xf numFmtId="173" fontId="47" fillId="10" borderId="0" xfId="0" applyNumberFormat="1" applyFont="1" applyFill="1" applyAlignment="1">
      <alignment horizontal="center" vertical="center"/>
    </xf>
    <xf numFmtId="0" fontId="47" fillId="10" borderId="0" xfId="0" applyFont="1" applyFill="1" applyAlignment="1">
      <alignment horizontal="right" vertical="center" wrapText="1"/>
    </xf>
    <xf numFmtId="0" fontId="46" fillId="10" borderId="0" xfId="0" applyFont="1" applyFill="1" applyAlignment="1">
      <alignment horizontal="center" vertical="center" wrapText="1"/>
    </xf>
    <xf numFmtId="0" fontId="47" fillId="10" borderId="0" xfId="0" applyFont="1" applyFill="1" applyAlignment="1">
      <alignment horizontal="center" vertical="center"/>
    </xf>
    <xf numFmtId="0" fontId="48" fillId="10" borderId="0" xfId="0" applyFont="1" applyFill="1" applyAlignment="1">
      <alignment horizontal="center" vertical="center" wrapText="1"/>
    </xf>
    <xf numFmtId="0" fontId="26" fillId="10" borderId="0" xfId="0" applyFont="1" applyFill="1" applyAlignment="1">
      <alignment horizontal="right" vertical="center"/>
    </xf>
    <xf numFmtId="0" fontId="46" fillId="10" borderId="0" xfId="0" applyFont="1" applyFill="1" applyAlignment="1">
      <alignment horizontal="right" vertical="center" wrapText="1"/>
    </xf>
    <xf numFmtId="14" fontId="47" fillId="10" borderId="0" xfId="0" applyNumberFormat="1" applyFont="1" applyFill="1" applyAlignment="1">
      <alignment horizontal="center" vertical="center"/>
    </xf>
    <xf numFmtId="175" fontId="47" fillId="10" borderId="0" xfId="0" applyNumberFormat="1" applyFont="1" applyFill="1" applyAlignment="1">
      <alignment horizontal="center" vertical="center"/>
    </xf>
    <xf numFmtId="174" fontId="49" fillId="7" borderId="0" xfId="0" applyNumberFormat="1" applyFont="1" applyFill="1" applyAlignment="1">
      <alignment horizontal="right" vertical="center" wrapText="1"/>
    </xf>
    <xf numFmtId="175" fontId="48" fillId="10" borderId="0" xfId="0" applyNumberFormat="1" applyFont="1" applyFill="1" applyAlignment="1">
      <alignment horizontal="center" vertical="center" wrapText="1"/>
    </xf>
    <xf numFmtId="0" fontId="26" fillId="10" borderId="0" xfId="0" applyFont="1" applyFill="1" applyAlignment="1">
      <alignment vertical="center"/>
    </xf>
    <xf numFmtId="175" fontId="26" fillId="10" borderId="0" xfId="0" applyNumberFormat="1" applyFont="1" applyFill="1" applyAlignment="1">
      <alignment vertical="center"/>
    </xf>
    <xf numFmtId="174" fontId="47" fillId="10" borderId="0" xfId="0" applyNumberFormat="1" applyFont="1" applyFill="1" applyAlignment="1">
      <alignment horizontal="right" vertical="center" wrapText="1"/>
    </xf>
    <xf numFmtId="164" fontId="4" fillId="0" borderId="18" xfId="0" applyNumberFormat="1" applyFont="1" applyBorder="1" applyAlignment="1">
      <alignment horizontal="center" vertical="center"/>
    </xf>
    <xf numFmtId="0" fontId="50" fillId="10" borderId="0" xfId="0" applyFont="1" applyFill="1" applyAlignment="1">
      <alignment horizontal="center" vertical="center"/>
    </xf>
    <xf numFmtId="9" fontId="47" fillId="3" borderId="0" xfId="0" applyNumberFormat="1" applyFont="1" applyFill="1" applyAlignment="1">
      <alignment horizontal="center" vertical="center"/>
    </xf>
    <xf numFmtId="176" fontId="47" fillId="3" borderId="0" xfId="0" applyNumberFormat="1" applyFont="1" applyFill="1" applyAlignment="1">
      <alignment horizontal="center" vertical="center"/>
    </xf>
    <xf numFmtId="177" fontId="47" fillId="3" borderId="0" xfId="0" applyNumberFormat="1" applyFont="1" applyFill="1" applyAlignment="1">
      <alignment horizontal="center" vertical="center"/>
    </xf>
    <xf numFmtId="167" fontId="47" fillId="3" borderId="0" xfId="0" applyNumberFormat="1" applyFont="1" applyFill="1" applyAlignment="1">
      <alignment horizontal="center" vertical="center"/>
    </xf>
    <xf numFmtId="0" fontId="43" fillId="0" borderId="0" xfId="0" applyFont="1"/>
    <xf numFmtId="0" fontId="51" fillId="14" borderId="0" xfId="0" applyFont="1" applyFill="1" applyAlignment="1">
      <alignment horizontal="left"/>
    </xf>
    <xf numFmtId="0" fontId="51" fillId="14" borderId="0" xfId="0" applyFont="1" applyFill="1" applyAlignment="1">
      <alignment horizontal="center"/>
    </xf>
    <xf numFmtId="0" fontId="51" fillId="14" borderId="0" xfId="0" applyFont="1" applyFill="1"/>
    <xf numFmtId="0" fontId="4" fillId="7" borderId="0" xfId="0" applyFont="1" applyFill="1"/>
    <xf numFmtId="0" fontId="52" fillId="15" borderId="0" xfId="0" applyFont="1" applyFill="1" applyAlignment="1">
      <alignment horizontal="left"/>
    </xf>
    <xf numFmtId="0" fontId="53" fillId="15" borderId="0" xfId="0" applyFont="1" applyFill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/>
    </xf>
    <xf numFmtId="170" fontId="4" fillId="0" borderId="28" xfId="0" applyNumberFormat="1" applyFont="1" applyBorder="1" applyAlignment="1">
      <alignment horizontal="center" vertical="center"/>
    </xf>
    <xf numFmtId="9" fontId="47" fillId="7" borderId="0" xfId="0" applyNumberFormat="1" applyFont="1" applyFill="1" applyAlignment="1">
      <alignment horizontal="center" vertical="center"/>
    </xf>
    <xf numFmtId="176" fontId="47" fillId="10" borderId="0" xfId="0" applyNumberFormat="1" applyFont="1" applyFill="1" applyAlignment="1">
      <alignment horizontal="center" vertical="center"/>
    </xf>
    <xf numFmtId="174" fontId="47" fillId="10" borderId="0" xfId="0" applyNumberFormat="1" applyFont="1" applyFill="1" applyAlignment="1">
      <alignment horizontal="center" vertical="center"/>
    </xf>
    <xf numFmtId="177" fontId="47" fillId="10" borderId="0" xfId="0" applyNumberFormat="1" applyFont="1" applyFill="1" applyAlignment="1">
      <alignment horizontal="center" vertical="center"/>
    </xf>
    <xf numFmtId="167" fontId="47" fillId="10" borderId="0" xfId="0" applyNumberFormat="1" applyFont="1" applyFill="1" applyAlignment="1">
      <alignment horizontal="center" vertical="center"/>
    </xf>
    <xf numFmtId="2" fontId="47" fillId="10" borderId="0" xfId="0" applyNumberFormat="1" applyFont="1" applyFill="1" applyAlignment="1">
      <alignment horizontal="center" vertical="center"/>
    </xf>
    <xf numFmtId="176" fontId="58" fillId="10" borderId="0" xfId="0" applyNumberFormat="1" applyFont="1" applyFill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0" fillId="10" borderId="0" xfId="0" applyFont="1" applyFill="1" applyAlignment="1">
      <alignment horizontal="center" vertical="center" wrapText="1"/>
    </xf>
    <xf numFmtId="0" fontId="0" fillId="0" borderId="5" xfId="0" applyBorder="1"/>
    <xf numFmtId="9" fontId="47" fillId="12" borderId="0" xfId="0" applyNumberFormat="1" applyFont="1" applyFill="1" applyAlignment="1">
      <alignment horizontal="center" vertical="center"/>
    </xf>
    <xf numFmtId="0" fontId="51" fillId="10" borderId="0" xfId="0" applyFont="1" applyFill="1"/>
    <xf numFmtId="0" fontId="4" fillId="10" borderId="0" xfId="0" applyFont="1" applyFill="1"/>
    <xf numFmtId="0" fontId="0" fillId="10" borderId="0" xfId="0" applyFill="1"/>
    <xf numFmtId="0" fontId="52" fillId="10" borderId="0" xfId="0" applyFont="1" applyFill="1" applyAlignment="1">
      <alignment horizontal="left"/>
    </xf>
    <xf numFmtId="0" fontId="53" fillId="10" borderId="0" xfId="0" applyFont="1" applyFill="1" applyAlignment="1">
      <alignment horizontal="center"/>
    </xf>
    <xf numFmtId="0" fontId="54" fillId="10" borderId="0" xfId="0" applyFont="1" applyFill="1" applyAlignment="1">
      <alignment horizontal="left"/>
    </xf>
    <xf numFmtId="164" fontId="4" fillId="10" borderId="0" xfId="0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170" fontId="4" fillId="10" borderId="0" xfId="0" applyNumberFormat="1" applyFont="1" applyFill="1" applyAlignment="1">
      <alignment horizontal="center" vertical="center"/>
    </xf>
    <xf numFmtId="0" fontId="55" fillId="16" borderId="25" xfId="0" applyFont="1" applyFill="1" applyBorder="1" applyAlignment="1">
      <alignment horizontal="right"/>
    </xf>
    <xf numFmtId="0" fontId="55" fillId="16" borderId="26" xfId="0" applyFont="1" applyFill="1" applyBorder="1" applyAlignment="1">
      <alignment horizontal="right" vertical="center"/>
    </xf>
    <xf numFmtId="164" fontId="3" fillId="16" borderId="26" xfId="0" applyNumberFormat="1" applyFont="1" applyFill="1" applyBorder="1" applyAlignment="1">
      <alignment horizontal="center" vertical="center"/>
    </xf>
    <xf numFmtId="165" fontId="3" fillId="16" borderId="26" xfId="0" applyNumberFormat="1" applyFont="1" applyFill="1" applyBorder="1" applyAlignment="1">
      <alignment horizontal="center" vertical="center"/>
    </xf>
    <xf numFmtId="170" fontId="3" fillId="16" borderId="26" xfId="0" applyNumberFormat="1" applyFont="1" applyFill="1" applyBorder="1" applyAlignment="1">
      <alignment horizontal="center" vertical="center"/>
    </xf>
    <xf numFmtId="164" fontId="3" fillId="16" borderId="27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70" fontId="4" fillId="0" borderId="3" xfId="0" applyNumberFormat="1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0" fontId="0" fillId="0" borderId="35" xfId="0" applyBorder="1"/>
    <xf numFmtId="164" fontId="4" fillId="0" borderId="33" xfId="0" applyNumberFormat="1" applyFont="1" applyBorder="1" applyAlignment="1">
      <alignment horizontal="center" vertical="center"/>
    </xf>
    <xf numFmtId="170" fontId="4" fillId="0" borderId="13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4" fillId="0" borderId="31" xfId="0" applyFont="1" applyBorder="1"/>
    <xf numFmtId="0" fontId="4" fillId="0" borderId="0" xfId="0" applyFont="1"/>
    <xf numFmtId="0" fontId="1" fillId="17" borderId="32" xfId="0" applyFont="1" applyFill="1" applyBorder="1" applyAlignment="1">
      <alignment horizontal="center" vertical="center"/>
    </xf>
    <xf numFmtId="0" fontId="1" fillId="17" borderId="33" xfId="0" applyFont="1" applyFill="1" applyBorder="1" applyAlignment="1">
      <alignment horizontal="center" vertical="center" wrapText="1"/>
    </xf>
    <xf numFmtId="0" fontId="3" fillId="17" borderId="34" xfId="0" applyFont="1" applyFill="1" applyBorder="1" applyAlignment="1">
      <alignment horizontal="center" vertical="center" wrapText="1"/>
    </xf>
    <xf numFmtId="0" fontId="3" fillId="17" borderId="33" xfId="0" applyFont="1" applyFill="1" applyBorder="1" applyAlignment="1">
      <alignment horizontal="center" vertical="center" wrapText="1"/>
    </xf>
    <xf numFmtId="0" fontId="3" fillId="17" borderId="35" xfId="0" applyFont="1" applyFill="1" applyBorder="1" applyAlignment="1">
      <alignment horizontal="center" vertical="center" wrapText="1"/>
    </xf>
    <xf numFmtId="0" fontId="3" fillId="17" borderId="3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4" xfId="0" applyBorder="1" applyAlignment="1">
      <alignment horizontal="center"/>
    </xf>
    <xf numFmtId="178" fontId="47" fillId="3" borderId="0" xfId="0" applyNumberFormat="1" applyFont="1" applyFill="1" applyAlignment="1">
      <alignment horizontal="center" vertical="center"/>
    </xf>
    <xf numFmtId="175" fontId="50" fillId="10" borderId="0" xfId="0" applyNumberFormat="1" applyFont="1" applyFill="1" applyAlignment="1">
      <alignment horizontal="center"/>
    </xf>
    <xf numFmtId="2" fontId="50" fillId="10" borderId="0" xfId="0" applyNumberFormat="1" applyFont="1" applyFill="1" applyAlignment="1">
      <alignment horizontal="center"/>
    </xf>
    <xf numFmtId="166" fontId="57" fillId="10" borderId="2" xfId="0" applyNumberFormat="1" applyFont="1" applyFill="1" applyBorder="1" applyAlignment="1">
      <alignment horizontal="center" vertical="center"/>
    </xf>
    <xf numFmtId="0" fontId="57" fillId="10" borderId="30" xfId="0" applyFont="1" applyFill="1" applyBorder="1" applyAlignment="1">
      <alignment horizontal="center" vertical="center" wrapText="1"/>
    </xf>
    <xf numFmtId="165" fontId="57" fillId="10" borderId="2" xfId="0" applyNumberFormat="1" applyFont="1" applyFill="1" applyBorder="1" applyAlignment="1">
      <alignment horizontal="center" vertical="center"/>
    </xf>
    <xf numFmtId="179" fontId="57" fillId="10" borderId="2" xfId="0" applyNumberFormat="1" applyFont="1" applyFill="1" applyBorder="1" applyAlignment="1">
      <alignment horizontal="center" vertical="center"/>
    </xf>
    <xf numFmtId="171" fontId="57" fillId="10" borderId="2" xfId="0" applyNumberFormat="1" applyFont="1" applyFill="1" applyBorder="1" applyAlignment="1">
      <alignment horizontal="center" vertical="center"/>
    </xf>
    <xf numFmtId="164" fontId="57" fillId="10" borderId="2" xfId="0" applyNumberFormat="1" applyFont="1" applyFill="1" applyBorder="1" applyAlignment="1">
      <alignment horizontal="center" vertical="center"/>
    </xf>
    <xf numFmtId="167" fontId="57" fillId="10" borderId="2" xfId="0" applyNumberFormat="1" applyFont="1" applyFill="1" applyBorder="1" applyAlignment="1">
      <alignment horizontal="center" vertical="center"/>
    </xf>
    <xf numFmtId="168" fontId="57" fillId="10" borderId="2" xfId="0" applyNumberFormat="1" applyFont="1" applyFill="1" applyBorder="1" applyAlignment="1">
      <alignment horizontal="center" vertical="center"/>
    </xf>
    <xf numFmtId="169" fontId="57" fillId="10" borderId="2" xfId="0" applyNumberFormat="1" applyFont="1" applyFill="1" applyBorder="1" applyAlignment="1">
      <alignment horizontal="center" vertical="center"/>
    </xf>
    <xf numFmtId="0" fontId="51" fillId="7" borderId="0" xfId="0" applyFont="1" applyFill="1"/>
    <xf numFmtId="0" fontId="53" fillId="7" borderId="0" xfId="0" applyFont="1" applyFill="1" applyAlignment="1">
      <alignment horizontal="center"/>
    </xf>
    <xf numFmtId="0" fontId="52" fillId="7" borderId="0" xfId="0" applyFont="1" applyFill="1" applyAlignment="1">
      <alignment horizontal="left"/>
    </xf>
    <xf numFmtId="0" fontId="54" fillId="7" borderId="0" xfId="0" applyFont="1" applyFill="1" applyAlignment="1">
      <alignment horizontal="left"/>
    </xf>
    <xf numFmtId="0" fontId="4" fillId="7" borderId="0" xfId="0" applyFont="1" applyFill="1" applyAlignment="1">
      <alignment horizontal="center" vertical="center" wrapText="1"/>
    </xf>
    <xf numFmtId="169" fontId="4" fillId="7" borderId="0" xfId="0" applyNumberFormat="1" applyFont="1" applyFill="1" applyAlignment="1">
      <alignment vertical="center"/>
    </xf>
    <xf numFmtId="0" fontId="52" fillId="18" borderId="0" xfId="0" applyFont="1" applyFill="1" applyAlignment="1">
      <alignment horizontal="left"/>
    </xf>
    <xf numFmtId="0" fontId="53" fillId="18" borderId="0" xfId="0" applyFont="1" applyFill="1" applyAlignment="1">
      <alignment horizontal="center"/>
    </xf>
    <xf numFmtId="0" fontId="57" fillId="15" borderId="29" xfId="0" applyFont="1" applyFill="1" applyBorder="1" applyAlignment="1">
      <alignment horizontal="center" vertical="center" wrapText="1"/>
    </xf>
    <xf numFmtId="0" fontId="56" fillId="7" borderId="0" xfId="0" applyFont="1" applyFill="1" applyAlignment="1">
      <alignment vertical="center"/>
    </xf>
    <xf numFmtId="0" fontId="1" fillId="17" borderId="4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5" xfId="0" applyBorder="1" applyAlignment="1">
      <alignment horizontal="center"/>
    </xf>
    <xf numFmtId="0" fontId="55" fillId="16" borderId="26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3" fontId="6" fillId="0" borderId="28" xfId="1" applyNumberFormat="1" applyFont="1" applyFill="1" applyBorder="1" applyAlignment="1">
      <alignment horizontal="center" vertical="center"/>
    </xf>
    <xf numFmtId="3" fontId="6" fillId="0" borderId="43" xfId="1" applyNumberFormat="1" applyFont="1" applyFill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166" fontId="0" fillId="0" borderId="27" xfId="0" applyNumberFormat="1" applyBorder="1" applyAlignment="1">
      <alignment horizontal="center" vertical="center"/>
    </xf>
    <xf numFmtId="3" fontId="2" fillId="0" borderId="41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/>
    </xf>
    <xf numFmtId="3" fontId="55" fillId="0" borderId="25" xfId="0" applyNumberFormat="1" applyFont="1" applyBorder="1" applyAlignment="1">
      <alignment horizontal="center" vertical="center"/>
    </xf>
    <xf numFmtId="0" fontId="57" fillId="15" borderId="44" xfId="0" applyFont="1" applyFill="1" applyBorder="1" applyAlignment="1">
      <alignment horizontal="center" vertical="center" wrapText="1"/>
    </xf>
    <xf numFmtId="166" fontId="57" fillId="10" borderId="3" xfId="0" applyNumberFormat="1" applyFont="1" applyFill="1" applyBorder="1" applyAlignment="1">
      <alignment horizontal="center" vertical="center"/>
    </xf>
    <xf numFmtId="166" fontId="57" fillId="10" borderId="37" xfId="0" applyNumberFormat="1" applyFont="1" applyFill="1" applyBorder="1" applyAlignment="1">
      <alignment horizontal="center" vertical="center"/>
    </xf>
    <xf numFmtId="166" fontId="57" fillId="10" borderId="12" xfId="0" applyNumberFormat="1" applyFont="1" applyFill="1" applyBorder="1" applyAlignment="1">
      <alignment horizontal="center" vertical="center"/>
    </xf>
    <xf numFmtId="165" fontId="57" fillId="10" borderId="12" xfId="0" applyNumberFormat="1" applyFont="1" applyFill="1" applyBorder="1" applyAlignment="1">
      <alignment horizontal="center" vertical="center"/>
    </xf>
    <xf numFmtId="179" fontId="57" fillId="10" borderId="12" xfId="0" applyNumberFormat="1" applyFont="1" applyFill="1" applyBorder="1" applyAlignment="1">
      <alignment horizontal="center" vertical="center"/>
    </xf>
    <xf numFmtId="171" fontId="57" fillId="10" borderId="12" xfId="0" applyNumberFormat="1" applyFont="1" applyFill="1" applyBorder="1" applyAlignment="1">
      <alignment horizontal="center" vertical="center"/>
    </xf>
    <xf numFmtId="164" fontId="57" fillId="10" borderId="12" xfId="0" applyNumberFormat="1" applyFont="1" applyFill="1" applyBorder="1" applyAlignment="1">
      <alignment horizontal="center" vertical="center"/>
    </xf>
    <xf numFmtId="167" fontId="57" fillId="10" borderId="12" xfId="0" applyNumberFormat="1" applyFont="1" applyFill="1" applyBorder="1" applyAlignment="1">
      <alignment horizontal="center" vertical="center"/>
    </xf>
    <xf numFmtId="168" fontId="57" fillId="10" borderId="12" xfId="0" applyNumberFormat="1" applyFont="1" applyFill="1" applyBorder="1" applyAlignment="1">
      <alignment horizontal="center" vertical="center"/>
    </xf>
    <xf numFmtId="169" fontId="57" fillId="10" borderId="12" xfId="0" applyNumberFormat="1" applyFont="1" applyFill="1" applyBorder="1" applyAlignment="1">
      <alignment horizontal="center" vertical="center"/>
    </xf>
    <xf numFmtId="0" fontId="57" fillId="15" borderId="36" xfId="0" applyFont="1" applyFill="1" applyBorder="1" applyAlignment="1">
      <alignment horizontal="center" vertical="center" wrapText="1"/>
    </xf>
    <xf numFmtId="169" fontId="57" fillId="10" borderId="13" xfId="0" applyNumberFormat="1" applyFont="1" applyFill="1" applyBorder="1" applyAlignment="1">
      <alignment horizontal="center" vertical="center"/>
    </xf>
    <xf numFmtId="169" fontId="57" fillId="10" borderId="15" xfId="0" applyNumberFormat="1" applyFont="1" applyFill="1" applyBorder="1" applyAlignment="1">
      <alignment horizontal="center" vertical="center"/>
    </xf>
    <xf numFmtId="0" fontId="60" fillId="19" borderId="45" xfId="0" applyFont="1" applyFill="1" applyBorder="1" applyAlignment="1">
      <alignment horizontal="center" vertical="center" wrapText="1"/>
    </xf>
    <xf numFmtId="0" fontId="60" fillId="19" borderId="46" xfId="0" applyFont="1" applyFill="1" applyBorder="1" applyAlignment="1">
      <alignment horizontal="center" vertical="center" wrapText="1"/>
    </xf>
    <xf numFmtId="0" fontId="60" fillId="19" borderId="47" xfId="0" applyFont="1" applyFill="1" applyBorder="1" applyAlignment="1">
      <alignment horizontal="center" vertical="center" wrapText="1"/>
    </xf>
    <xf numFmtId="166" fontId="57" fillId="10" borderId="19" xfId="0" applyNumberFormat="1" applyFont="1" applyFill="1" applyBorder="1" applyAlignment="1">
      <alignment horizontal="center" vertical="center"/>
    </xf>
    <xf numFmtId="166" fontId="57" fillId="10" borderId="11" xfId="0" applyNumberFormat="1" applyFont="1" applyFill="1" applyBorder="1" applyAlignment="1">
      <alignment horizontal="center" vertical="center"/>
    </xf>
    <xf numFmtId="165" fontId="57" fillId="10" borderId="11" xfId="0" applyNumberFormat="1" applyFont="1" applyFill="1" applyBorder="1" applyAlignment="1">
      <alignment horizontal="center" vertical="center"/>
    </xf>
    <xf numFmtId="179" fontId="57" fillId="10" borderId="11" xfId="0" applyNumberFormat="1" applyFont="1" applyFill="1" applyBorder="1" applyAlignment="1">
      <alignment horizontal="center" vertical="center"/>
    </xf>
    <xf numFmtId="171" fontId="57" fillId="10" borderId="11" xfId="0" applyNumberFormat="1" applyFont="1" applyFill="1" applyBorder="1" applyAlignment="1">
      <alignment horizontal="center" vertical="center"/>
    </xf>
    <xf numFmtId="164" fontId="57" fillId="10" borderId="11" xfId="0" applyNumberFormat="1" applyFont="1" applyFill="1" applyBorder="1" applyAlignment="1">
      <alignment horizontal="center" vertical="center"/>
    </xf>
    <xf numFmtId="167" fontId="57" fillId="10" borderId="11" xfId="0" applyNumberFormat="1" applyFont="1" applyFill="1" applyBorder="1" applyAlignment="1">
      <alignment horizontal="center" vertical="center"/>
    </xf>
    <xf numFmtId="168" fontId="57" fillId="10" borderId="11" xfId="0" applyNumberFormat="1" applyFont="1" applyFill="1" applyBorder="1" applyAlignment="1">
      <alignment horizontal="center" vertical="center"/>
    </xf>
    <xf numFmtId="169" fontId="57" fillId="10" borderId="11" xfId="0" applyNumberFormat="1" applyFont="1" applyFill="1" applyBorder="1" applyAlignment="1">
      <alignment horizontal="center" vertical="center"/>
    </xf>
    <xf numFmtId="169" fontId="57" fillId="10" borderId="14" xfId="0" applyNumberFormat="1" applyFont="1" applyFill="1" applyBorder="1" applyAlignment="1">
      <alignment horizontal="center" vertical="center"/>
    </xf>
    <xf numFmtId="0" fontId="57" fillId="8" borderId="0" xfId="0" applyFont="1" applyFill="1" applyAlignment="1">
      <alignment vertical="center"/>
    </xf>
    <xf numFmtId="0" fontId="57" fillId="8" borderId="0" xfId="0" applyFont="1" applyFill="1" applyAlignment="1">
      <alignment vertical="top"/>
    </xf>
    <xf numFmtId="0" fontId="57" fillId="8" borderId="0" xfId="9" applyFont="1" applyFill="1"/>
    <xf numFmtId="0" fontId="57" fillId="8" borderId="0" xfId="9" applyFont="1" applyFill="1" applyAlignment="1">
      <alignment vertical="top"/>
    </xf>
    <xf numFmtId="0" fontId="61" fillId="8" borderId="0" xfId="9" applyFont="1" applyFill="1" applyAlignment="1">
      <alignment vertical="top"/>
    </xf>
    <xf numFmtId="0" fontId="57" fillId="8" borderId="0" xfId="0" applyFont="1" applyFill="1"/>
    <xf numFmtId="0" fontId="61" fillId="8" borderId="0" xfId="9" applyFont="1" applyFill="1"/>
    <xf numFmtId="0" fontId="57" fillId="11" borderId="22" xfId="0" applyFont="1" applyFill="1" applyBorder="1" applyAlignment="1">
      <alignment vertical="top"/>
    </xf>
    <xf numFmtId="0" fontId="57" fillId="12" borderId="23" xfId="0" applyFont="1" applyFill="1" applyBorder="1" applyAlignment="1">
      <alignment vertical="top"/>
    </xf>
    <xf numFmtId="0" fontId="4" fillId="0" borderId="14" xfId="0" applyFont="1" applyBorder="1"/>
    <xf numFmtId="0" fontId="4" fillId="0" borderId="48" xfId="0" applyFont="1" applyBorder="1"/>
    <xf numFmtId="0" fontId="4" fillId="0" borderId="13" xfId="0" applyFont="1" applyBorder="1"/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5" xfId="0" applyFont="1" applyBorder="1"/>
    <xf numFmtId="0" fontId="13" fillId="10" borderId="0" xfId="0" applyFont="1" applyFill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7" fillId="10" borderId="0" xfId="0" applyFont="1" applyFill="1" applyAlignment="1">
      <alignment horizontal="right" vertical="center" wrapText="1"/>
    </xf>
    <xf numFmtId="0" fontId="57" fillId="8" borderId="0" xfId="9" applyFont="1" applyFill="1" applyAlignment="1">
      <alignment horizontal="left" vertical="center" wrapText="1"/>
    </xf>
    <xf numFmtId="0" fontId="40" fillId="8" borderId="0" xfId="9" applyFont="1" applyFill="1" applyAlignment="1">
      <alignment horizontal="left" vertical="center" wrapText="1"/>
    </xf>
    <xf numFmtId="0" fontId="25" fillId="8" borderId="0" xfId="9" applyFont="1" applyFill="1" applyAlignment="1">
      <alignment horizontal="right" vertical="top" wrapText="1"/>
    </xf>
    <xf numFmtId="0" fontId="57" fillId="8" borderId="0" xfId="0" quotePrefix="1" applyFont="1" applyFill="1" applyAlignment="1">
      <alignment horizontal="left" vertical="top" wrapText="1"/>
    </xf>
    <xf numFmtId="0" fontId="57" fillId="8" borderId="0" xfId="0" applyFont="1" applyFill="1" applyAlignment="1">
      <alignment horizontal="left" vertical="top"/>
    </xf>
    <xf numFmtId="0" fontId="39" fillId="7" borderId="0" xfId="7" applyFont="1" applyFill="1" applyAlignment="1">
      <alignment horizontal="left" vertical="top" wrapText="1"/>
    </xf>
    <xf numFmtId="0" fontId="28" fillId="8" borderId="0" xfId="9" applyFont="1" applyFill="1" applyAlignment="1">
      <alignment horizontal="right" vertical="top" wrapText="1"/>
    </xf>
    <xf numFmtId="0" fontId="29" fillId="6" borderId="0" xfId="6" applyFill="1" applyAlignment="1">
      <alignment horizontal="left" wrapText="1"/>
    </xf>
    <xf numFmtId="2" fontId="30" fillId="7" borderId="0" xfId="7" applyNumberFormat="1" applyFont="1" applyFill="1" applyAlignment="1">
      <alignment horizontal="left" vertical="center" wrapText="1"/>
    </xf>
    <xf numFmtId="2" fontId="30" fillId="7" borderId="0" xfId="7" applyNumberFormat="1" applyFont="1" applyFill="1" applyAlignment="1">
      <alignment horizontal="left" wrapText="1"/>
    </xf>
    <xf numFmtId="0" fontId="32" fillId="7" borderId="0" xfId="7" applyFont="1" applyFill="1" applyAlignment="1">
      <alignment horizontal="left" wrapText="1"/>
    </xf>
    <xf numFmtId="0" fontId="57" fillId="8" borderId="0" xfId="9" applyFont="1" applyFill="1" applyAlignment="1">
      <alignment horizontal="left" vertical="top" wrapText="1"/>
    </xf>
    <xf numFmtId="0" fontId="36" fillId="7" borderId="0" xfId="7" applyFont="1" applyFill="1" applyAlignment="1">
      <alignment horizontal="left" vertical="top" wrapText="1"/>
    </xf>
    <xf numFmtId="0" fontId="46" fillId="10" borderId="0" xfId="0" applyFont="1" applyFill="1" applyAlignment="1">
      <alignment horizontal="center" vertical="center"/>
    </xf>
    <xf numFmtId="0" fontId="59" fillId="10" borderId="0" xfId="0" applyFont="1" applyFill="1" applyAlignment="1">
      <alignment horizontal="center" wrapText="1"/>
    </xf>
    <xf numFmtId="0" fontId="46" fillId="19" borderId="19" xfId="0" applyFont="1" applyFill="1" applyBorder="1" applyAlignment="1">
      <alignment horizontal="center" vertical="center" wrapText="1"/>
    </xf>
    <xf numFmtId="0" fontId="46" fillId="19" borderId="11" xfId="0" applyFont="1" applyFill="1" applyBorder="1" applyAlignment="1">
      <alignment horizontal="center" vertical="center" wrapText="1"/>
    </xf>
    <xf numFmtId="0" fontId="46" fillId="14" borderId="11" xfId="0" applyFont="1" applyFill="1" applyBorder="1" applyAlignment="1">
      <alignment horizontal="center" vertical="center" wrapText="1"/>
    </xf>
    <xf numFmtId="0" fontId="46" fillId="14" borderId="14" xfId="0" applyFont="1" applyFill="1" applyBorder="1" applyAlignment="1">
      <alignment horizontal="center" vertical="center" wrapText="1"/>
    </xf>
  </cellXfs>
  <cellStyles count="10">
    <cellStyle name="Enllaç 2" xfId="8" xr:uid="{A106CC82-9925-4013-BE1B-3B87C256AFED}"/>
    <cellStyle name="Hipervínculo" xfId="6" builtinId="8"/>
    <cellStyle name="Neutral" xfId="1" builtinId="28"/>
    <cellStyle name="Normal" xfId="0" builtinId="0"/>
    <cellStyle name="Normal 2" xfId="3" xr:uid="{224EC4E4-6A78-4781-AAF5-D1A555E59660}"/>
    <cellStyle name="Normal 2 2" xfId="7" xr:uid="{FCD46776-3B38-408D-88A0-EA6404DCD400}"/>
    <cellStyle name="Normal 3" xfId="2" xr:uid="{CEDB1345-469C-4203-B14B-B46481E03AD8}"/>
    <cellStyle name="Normal 3 2" xfId="9" xr:uid="{B875198E-59E0-4319-8CDD-1188E35FBA24}"/>
    <cellStyle name="Porcentaje 2" xfId="5" xr:uid="{67936B28-1392-456D-B605-E26D90039768}"/>
    <cellStyle name="Porcentaje 3" xfId="4" xr:uid="{4386531B-9D1E-49D5-96E6-C73FA7EA1ED1}"/>
  </cellStyles>
  <dxfs count="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#,##0.0\ &quot;m2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#,##0.00\ &quot;kWp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border outline="0"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#,##0.0\ &quot;m2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#,##0.00\ &quot;kWp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border outline="0"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#,##0.0\ &quot;m2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#,##0.00\ &quot;kWp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border outline="0">
        <right style="medium">
          <color rgb="FF000000"/>
        </right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#,##0.0\ &quot;m2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#,##0.00\ &quot;kWp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kWh&quot;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border outline="0"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kWh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DDDDDD"/>
      <color rgb="FFA9D18E"/>
      <color rgb="FFF8CBAD"/>
      <color rgb="FF2F5597"/>
      <color rgb="FF000000"/>
      <color rgb="FFDAE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 Haas Grotesk Text Pro" panose="020B0504020202020204" pitchFamily="34" charset="0"/>
                <a:ea typeface="+mn-ea"/>
                <a:cs typeface="+mn-cs"/>
              </a:defRPr>
            </a:pPr>
            <a:r>
              <a:rPr lang="ca-ES"/>
              <a:t>CONSUM ELÈCTRIC</a:t>
            </a:r>
          </a:p>
        </c:rich>
      </c:tx>
      <c:layout>
        <c:manualLayout>
          <c:xMode val="edge"/>
          <c:yMode val="edge"/>
          <c:x val="0.3452559823379317"/>
          <c:y val="3.8253077888257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ue Haas Grotesk Text Pro" panose="020B0504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941533601374755"/>
          <c:y val="0.14471095337072237"/>
          <c:w val="0.68497662104484114"/>
          <c:h val="0.64703655896079615"/>
        </c:manualLayout>
      </c:layout>
      <c:areaChart>
        <c:grouping val="stacked"/>
        <c:varyColors val="0"/>
        <c:ser>
          <c:idx val="2"/>
          <c:order val="1"/>
          <c:tx>
            <c:strRef>
              <c:f>'Resum de resultats'!$C$9</c:f>
              <c:strCache>
                <c:ptCount val="1"/>
                <c:pt idx="0">
                  <c:v>Autoconsum instantani</c:v>
                </c:pt>
              </c:strCache>
            </c:strRef>
          </c:tx>
          <c:spPr>
            <a:solidFill>
              <a:schemeClr val="accent2">
                <a:lumMod val="75000"/>
                <a:alpha val="50196"/>
              </a:schemeClr>
            </a:solidFill>
            <a:ln>
              <a:noFill/>
            </a:ln>
            <a:effectLst/>
          </c:spPr>
          <c:cat>
            <c:strRef>
              <c:f>'Resum de resultats'!$D$4:$G$4</c:f>
              <c:strCache>
                <c:ptCount val="4"/>
                <c:pt idx="0">
                  <c:v>ESCENARI 1</c:v>
                </c:pt>
                <c:pt idx="1">
                  <c:v>ESCENARI 2</c:v>
                </c:pt>
                <c:pt idx="2">
                  <c:v>ESCENARI 3</c:v>
                </c:pt>
                <c:pt idx="3">
                  <c:v>ESCENARI 4</c:v>
                </c:pt>
              </c:strCache>
            </c:strRef>
          </c:cat>
          <c:val>
            <c:numRef>
              <c:f>'Resum de resultats'!$D$9:$G$9</c:f>
              <c:numCache>
                <c:formatCode>#,##0\ "kWh"</c:formatCode>
                <c:ptCount val="4"/>
                <c:pt idx="0">
                  <c:v>6480</c:v>
                </c:pt>
                <c:pt idx="1">
                  <c:v>14175</c:v>
                </c:pt>
                <c:pt idx="2">
                  <c:v>20250</c:v>
                </c:pt>
                <c:pt idx="3">
                  <c:v>21262.5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1B-4882-810B-AA17BCEF0C91}"/>
            </c:ext>
          </c:extLst>
        </c:ser>
        <c:ser>
          <c:idx val="5"/>
          <c:order val="2"/>
          <c:tx>
            <c:strRef>
              <c:f>'Resum de resultats'!$C$12</c:f>
              <c:strCache>
                <c:ptCount val="1"/>
                <c:pt idx="0">
                  <c:v>Consum de xarxa amb FV</c:v>
                </c:pt>
              </c:strCache>
            </c:strRef>
          </c:tx>
          <c:spPr>
            <a:solidFill>
              <a:srgbClr val="F8CBAD">
                <a:alpha val="50196"/>
              </a:srgbClr>
            </a:solidFill>
            <a:ln>
              <a:noFill/>
            </a:ln>
            <a:effectLst/>
          </c:spPr>
          <c:cat>
            <c:strRef>
              <c:f>'Resum de resultats'!$D$4:$G$4</c:f>
              <c:strCache>
                <c:ptCount val="4"/>
                <c:pt idx="0">
                  <c:v>ESCENARI 1</c:v>
                </c:pt>
                <c:pt idx="1">
                  <c:v>ESCENARI 2</c:v>
                </c:pt>
                <c:pt idx="2">
                  <c:v>ESCENARI 3</c:v>
                </c:pt>
                <c:pt idx="3">
                  <c:v>ESCENARI 4</c:v>
                </c:pt>
              </c:strCache>
            </c:strRef>
          </c:cat>
          <c:val>
            <c:numRef>
              <c:f>'Resum de resultats'!$D$12:$G$12</c:f>
              <c:numCache>
                <c:formatCode>#,##0.00\ "kWh"</c:formatCode>
                <c:ptCount val="4"/>
                <c:pt idx="0">
                  <c:v>105420</c:v>
                </c:pt>
                <c:pt idx="1">
                  <c:v>97725</c:v>
                </c:pt>
                <c:pt idx="2">
                  <c:v>91650</c:v>
                </c:pt>
                <c:pt idx="3">
                  <c:v>90637.5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1B-4882-810B-AA17BCEF0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028352"/>
        <c:axId val="703026912"/>
      </c:areaChart>
      <c:lineChart>
        <c:grouping val="standard"/>
        <c:varyColors val="0"/>
        <c:ser>
          <c:idx val="0"/>
          <c:order val="0"/>
          <c:tx>
            <c:strRef>
              <c:f>'Resum de resultats'!$C$5</c:f>
              <c:strCache>
                <c:ptCount val="1"/>
                <c:pt idx="0">
                  <c:v>Consum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'Resum de resultats'!$D$4:$G$4</c:f>
              <c:strCache>
                <c:ptCount val="4"/>
                <c:pt idx="0">
                  <c:v>ESCENARI 1</c:v>
                </c:pt>
                <c:pt idx="1">
                  <c:v>ESCENARI 2</c:v>
                </c:pt>
                <c:pt idx="2">
                  <c:v>ESCENARI 3</c:v>
                </c:pt>
                <c:pt idx="3">
                  <c:v>ESCENARI 4</c:v>
                </c:pt>
              </c:strCache>
            </c:strRef>
          </c:cat>
          <c:val>
            <c:numRef>
              <c:f>'Resum de resultats'!$D$5:$G$5</c:f>
              <c:numCache>
                <c:formatCode>#,##0\ "kWh/any"</c:formatCode>
                <c:ptCount val="4"/>
                <c:pt idx="0">
                  <c:v>111900</c:v>
                </c:pt>
                <c:pt idx="1">
                  <c:v>111900</c:v>
                </c:pt>
                <c:pt idx="2">
                  <c:v>111900</c:v>
                </c:pt>
                <c:pt idx="3">
                  <c:v>111900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B-4882-810B-AA17BCEF0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028352"/>
        <c:axId val="703026912"/>
      </c:lineChart>
      <c:catAx>
        <c:axId val="70302835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90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 Haas Grotesk Text Pro" panose="020B0504020202020204" pitchFamily="34" charset="0"/>
                <a:ea typeface="+mn-ea"/>
                <a:cs typeface="+mn-cs"/>
              </a:defRPr>
            </a:pPr>
            <a:endParaRPr lang="ca-ES"/>
          </a:p>
        </c:txPr>
        <c:crossAx val="703026912"/>
        <c:crosses val="autoZero"/>
        <c:auto val="1"/>
        <c:lblAlgn val="ctr"/>
        <c:lblOffset val="100"/>
        <c:tickMarkSkip val="1"/>
        <c:noMultiLvlLbl val="0"/>
      </c:catAx>
      <c:valAx>
        <c:axId val="70302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\ 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 Haas Grotesk Text Pro" panose="020B0504020202020204" pitchFamily="34" charset="0"/>
                <a:ea typeface="+mn-ea"/>
                <a:cs typeface="+mn-cs"/>
              </a:defRPr>
            </a:pPr>
            <a:endParaRPr lang="ca-ES"/>
          </a:p>
        </c:txPr>
        <c:crossAx val="7030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2084558180428082E-2"/>
          <c:y val="0.85450183093291998"/>
          <c:w val="0.83639176588283004"/>
          <c:h val="0.121511127162582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ue Haas Grotesk Text Pro" panose="020B0504020202020204" pitchFamily="34" charset="0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57150" cap="flat" cmpd="sng" algn="ctr">
      <a:noFill/>
      <a:round/>
    </a:ln>
    <a:effectLst/>
  </c:spPr>
  <c:txPr>
    <a:bodyPr/>
    <a:lstStyle/>
    <a:p>
      <a:pPr>
        <a:defRPr>
          <a:latin typeface="Neue Haas Grotesk Text Pro" panose="020B0504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 Haas Grotesk Text Pro" panose="020B0504020202020204" pitchFamily="34" charset="0"/>
                <a:ea typeface="+mn-ea"/>
                <a:cs typeface="+mn-cs"/>
              </a:defRPr>
            </a:pPr>
            <a:r>
              <a:rPr lang="ca-ES"/>
              <a:t>PRODUCCIÓ FOTOVOLTAICA </a:t>
            </a:r>
          </a:p>
        </c:rich>
      </c:tx>
      <c:layout>
        <c:manualLayout>
          <c:xMode val="edge"/>
          <c:yMode val="edge"/>
          <c:x val="0.28064453007256868"/>
          <c:y val="4.8983789922538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ue Haas Grotesk Text Pro" panose="020B0504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8747692335119934"/>
          <c:y val="0.15420444196835123"/>
          <c:w val="0.73014290046166586"/>
          <c:h val="0.65622357693090627"/>
        </c:manualLayout>
      </c:layout>
      <c:areaChart>
        <c:grouping val="stacked"/>
        <c:varyColors val="0"/>
        <c:ser>
          <c:idx val="2"/>
          <c:order val="2"/>
          <c:tx>
            <c:strRef>
              <c:f>'Resum de resultats'!$C$9</c:f>
              <c:strCache>
                <c:ptCount val="1"/>
                <c:pt idx="0">
                  <c:v>Autoconsum instantani</c:v>
                </c:pt>
              </c:strCache>
            </c:strRef>
          </c:tx>
          <c:spPr>
            <a:solidFill>
              <a:srgbClr val="A9D18E">
                <a:alpha val="50196"/>
              </a:srgbClr>
            </a:solidFill>
            <a:ln>
              <a:noFill/>
            </a:ln>
            <a:effectLst/>
          </c:spPr>
          <c:cat>
            <c:strRef>
              <c:f>'Resum de resultats'!$D$4:$G$4</c:f>
              <c:strCache>
                <c:ptCount val="4"/>
                <c:pt idx="0">
                  <c:v>ESCENARI 1</c:v>
                </c:pt>
                <c:pt idx="1">
                  <c:v>ESCENARI 2</c:v>
                </c:pt>
                <c:pt idx="2">
                  <c:v>ESCENARI 3</c:v>
                </c:pt>
                <c:pt idx="3">
                  <c:v>ESCENARI 4</c:v>
                </c:pt>
              </c:strCache>
            </c:strRef>
          </c:cat>
          <c:val>
            <c:numRef>
              <c:f>'Resum de resultats'!$D$9:$G$9</c:f>
              <c:numCache>
                <c:formatCode>#,##0\ "kWh"</c:formatCode>
                <c:ptCount val="4"/>
                <c:pt idx="0">
                  <c:v>6480</c:v>
                </c:pt>
                <c:pt idx="1">
                  <c:v>14175</c:v>
                </c:pt>
                <c:pt idx="2">
                  <c:v>20250</c:v>
                </c:pt>
                <c:pt idx="3">
                  <c:v>21262.5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6-45E5-A17F-7D04DE48A25A}"/>
            </c:ext>
          </c:extLst>
        </c:ser>
        <c:ser>
          <c:idx val="4"/>
          <c:order val="4"/>
          <c:tx>
            <c:strRef>
              <c:f>'Resum de resultats'!$C$11</c:f>
              <c:strCache>
                <c:ptCount val="1"/>
                <c:pt idx="0">
                  <c:v>Excedents abocats a xarxa sense compensar</c:v>
                </c:pt>
              </c:strCache>
            </c:strRef>
          </c:tx>
          <c:spPr>
            <a:solidFill>
              <a:schemeClr val="bg1">
                <a:lumMod val="50000"/>
                <a:alpha val="50196"/>
              </a:schemeClr>
            </a:solidFill>
            <a:ln>
              <a:noFill/>
            </a:ln>
            <a:effectLst/>
          </c:spPr>
          <c:cat>
            <c:strRef>
              <c:f>'Resum de resultats'!$D$4:$G$4</c:f>
              <c:strCache>
                <c:ptCount val="4"/>
                <c:pt idx="0">
                  <c:v>ESCENARI 1</c:v>
                </c:pt>
                <c:pt idx="1">
                  <c:v>ESCENARI 2</c:v>
                </c:pt>
                <c:pt idx="2">
                  <c:v>ESCENARI 3</c:v>
                </c:pt>
                <c:pt idx="3">
                  <c:v>ESCENARI 4</c:v>
                </c:pt>
              </c:strCache>
            </c:strRef>
          </c:cat>
          <c:val>
            <c:numRef>
              <c:f>'Resum de resultats'!$D$11:$G$11</c:f>
              <c:numCache>
                <c:formatCode>#,##0.00\ "kWh"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5595</c:v>
                </c:pt>
                <c:pt idx="3">
                  <c:v>41962.5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16-45E5-A17F-7D04DE48A25A}"/>
            </c:ext>
          </c:extLst>
        </c:ser>
        <c:ser>
          <c:idx val="3"/>
          <c:order val="3"/>
          <c:tx>
            <c:strRef>
              <c:f>'Resum de resultats'!$C$10</c:f>
              <c:strCache>
                <c:ptCount val="1"/>
                <c:pt idx="0">
                  <c:v>Excedents compensats</c:v>
                </c:pt>
              </c:strCache>
            </c:strRef>
          </c:tx>
          <c:spPr>
            <a:solidFill>
              <a:srgbClr val="002060">
                <a:alpha val="50196"/>
              </a:srgbClr>
            </a:solidFill>
            <a:ln>
              <a:noFill/>
            </a:ln>
            <a:effectLst/>
          </c:spPr>
          <c:cat>
            <c:strRef>
              <c:f>'Resum de resultats'!$D$4:$G$4</c:f>
              <c:strCache>
                <c:ptCount val="4"/>
                <c:pt idx="0">
                  <c:v>ESCENARI 1</c:v>
                </c:pt>
                <c:pt idx="1">
                  <c:v>ESCENARI 2</c:v>
                </c:pt>
                <c:pt idx="2">
                  <c:v>ESCENARI 3</c:v>
                </c:pt>
                <c:pt idx="3">
                  <c:v>ESCENARI 4</c:v>
                </c:pt>
              </c:strCache>
            </c:strRef>
          </c:cat>
          <c:val>
            <c:numRef>
              <c:f>'Resum de resultats'!$D$10:$G$10</c:f>
              <c:numCache>
                <c:formatCode>#,##0.00\ "kWh"</c:formatCode>
                <c:ptCount val="4"/>
                <c:pt idx="0">
                  <c:v>15900</c:v>
                </c:pt>
                <c:pt idx="1">
                  <c:v>41775</c:v>
                </c:pt>
                <c:pt idx="2">
                  <c:v>86055</c:v>
                </c:pt>
                <c:pt idx="3">
                  <c:v>104625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16-45E5-A17F-7D04DE48A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028352"/>
        <c:axId val="703026912"/>
        <c:extLst>
          <c:ext xmlns:c15="http://schemas.microsoft.com/office/drawing/2012/chart" uri="{02D57815-91ED-43cb-92C2-25804820EDAC}">
            <c15:filteredArea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'Resum de resultats'!$C$12</c15:sqref>
                        </c15:formulaRef>
                      </c:ext>
                    </c:extLst>
                    <c:strCache>
                      <c:ptCount val="1"/>
                      <c:pt idx="0">
                        <c:v>Consum de xarxa amb FV</c:v>
                      </c:pt>
                    </c:strCache>
                  </c:strRef>
                </c:tx>
                <c:spPr>
                  <a:solidFill>
                    <a:schemeClr val="accent2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'Resum de resultats'!$D$4:$G$4</c15:sqref>
                        </c15:formulaRef>
                      </c:ext>
                    </c:extLst>
                    <c:strCache>
                      <c:ptCount val="4"/>
                      <c:pt idx="0">
                        <c:v>ESCENARI 1</c:v>
                      </c:pt>
                      <c:pt idx="1">
                        <c:v>ESCENARI 2</c:v>
                      </c:pt>
                      <c:pt idx="2">
                        <c:v>ESCENARI 3</c:v>
                      </c:pt>
                      <c:pt idx="3">
                        <c:v>ESCENARI 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'Resum de resultats'!$D$12:$G$12</c15:sqref>
                        </c15:formulaRef>
                      </c:ext>
                    </c:extLst>
                    <c:numCache>
                      <c:formatCode>#,##0.00\ "kWh"</c:formatCode>
                      <c:ptCount val="4"/>
                      <c:pt idx="0">
                        <c:v>105420</c:v>
                      </c:pt>
                      <c:pt idx="1">
                        <c:v>97725</c:v>
                      </c:pt>
                      <c:pt idx="2">
                        <c:v>91650</c:v>
                      </c:pt>
                      <c:pt idx="3">
                        <c:v>90637.5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16-45E5-A17F-7D04DE48A25A}"/>
                  </c:ext>
                </c:extLst>
              </c15:ser>
            </c15:filteredAreaSeries>
            <c15:filteredArea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'Resum de resultats'!$C$9</c15:sqref>
                        </c15:formulaRef>
                      </c:ext>
                    </c:extLst>
                    <c:strCache>
                      <c:ptCount val="1"/>
                      <c:pt idx="0">
                        <c:v>Autoconsum instantani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  <a:lumOff val="40000"/>
                      <a:alpha val="50196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'Resum de resultats'!$D$4:$G$4</c15:sqref>
                        </c15:formulaRef>
                      </c:ext>
                    </c:extLst>
                    <c:strCache>
                      <c:ptCount val="4"/>
                      <c:pt idx="0">
                        <c:v>ESCENARI 1</c:v>
                      </c:pt>
                      <c:pt idx="1">
                        <c:v>ESCENARI 2</c:v>
                      </c:pt>
                      <c:pt idx="2">
                        <c:v>ESCENARI 3</c:v>
                      </c:pt>
                      <c:pt idx="3">
                        <c:v>ESCENARI 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'Resum de resultats'!$D$9:$G$9</c15:sqref>
                        </c15:formulaRef>
                      </c:ext>
                    </c:extLst>
                    <c:numCache>
                      <c:formatCode>#,##0\ "kWh"</c:formatCode>
                      <c:ptCount val="4"/>
                      <c:pt idx="0">
                        <c:v>6480</c:v>
                      </c:pt>
                      <c:pt idx="1">
                        <c:v>14175</c:v>
                      </c:pt>
                      <c:pt idx="2">
                        <c:v>20250</c:v>
                      </c:pt>
                      <c:pt idx="3">
                        <c:v>21262.5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16-45E5-A17F-7D04DE48A25A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1"/>
          <c:order val="1"/>
          <c:tx>
            <c:strRef>
              <c:f>'Resum de resultats'!$C$6</c:f>
              <c:strCache>
                <c:ptCount val="1"/>
                <c:pt idx="0">
                  <c:v>Producció esperada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'Resum de resultats'!$D$4:$G$4</c:f>
              <c:strCache>
                <c:ptCount val="4"/>
                <c:pt idx="0">
                  <c:v>ESCENARI 1</c:v>
                </c:pt>
                <c:pt idx="1">
                  <c:v>ESCENARI 2</c:v>
                </c:pt>
                <c:pt idx="2">
                  <c:v>ESCENARI 3</c:v>
                </c:pt>
                <c:pt idx="3">
                  <c:v>ESCENARI 4</c:v>
                </c:pt>
              </c:strCache>
            </c:strRef>
          </c:cat>
          <c:val>
            <c:numRef>
              <c:f>'Resum de resultats'!$D$6:$G$6</c:f>
              <c:numCache>
                <c:formatCode>#,##0\ "kWh/any"</c:formatCode>
                <c:ptCount val="4"/>
                <c:pt idx="0">
                  <c:v>22380</c:v>
                </c:pt>
                <c:pt idx="1">
                  <c:v>55950</c:v>
                </c:pt>
                <c:pt idx="2">
                  <c:v>111900</c:v>
                </c:pt>
                <c:pt idx="3">
                  <c:v>167850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16-45E5-A17F-7D04DE48A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028352"/>
        <c:axId val="70302691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'Resum de resultats'!$C$5</c15:sqref>
                        </c15:formulaRef>
                      </c:ext>
                    </c:extLst>
                    <c:strCache>
                      <c:ptCount val="1"/>
                      <c:pt idx="0">
                        <c:v>Consum 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'Resum de resultats'!$D$4:$G$4</c15:sqref>
                        </c15:formulaRef>
                      </c:ext>
                    </c:extLst>
                    <c:strCache>
                      <c:ptCount val="4"/>
                      <c:pt idx="0">
                        <c:v>ESCENARI 1</c:v>
                      </c:pt>
                      <c:pt idx="1">
                        <c:v>ESCENARI 2</c:v>
                      </c:pt>
                      <c:pt idx="2">
                        <c:v>ESCENARI 3</c:v>
                      </c:pt>
                      <c:pt idx="3">
                        <c:v>ESCENARI 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'Resum de resultats'!$D$5:$G$5</c15:sqref>
                        </c15:formulaRef>
                      </c:ext>
                    </c:extLst>
                    <c:numCache>
                      <c:formatCode>#,##0\ "kWh/any"</c:formatCode>
                      <c:ptCount val="4"/>
                      <c:pt idx="0">
                        <c:v>111900</c:v>
                      </c:pt>
                      <c:pt idx="1">
                        <c:v>111900</c:v>
                      </c:pt>
                      <c:pt idx="2">
                        <c:v>111900</c:v>
                      </c:pt>
                      <c:pt idx="3">
                        <c:v>111900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4E16-45E5-A17F-7D04DE48A25A}"/>
                  </c:ext>
                </c:extLst>
              </c15:ser>
            </c15:filteredLineSeries>
          </c:ext>
        </c:extLst>
      </c:lineChart>
      <c:catAx>
        <c:axId val="70302835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90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 Haas Grotesk Text Pro" panose="020B0504020202020204" pitchFamily="34" charset="0"/>
                <a:ea typeface="+mn-ea"/>
                <a:cs typeface="+mn-cs"/>
              </a:defRPr>
            </a:pPr>
            <a:endParaRPr lang="ca-ES"/>
          </a:p>
        </c:txPr>
        <c:crossAx val="703026912"/>
        <c:crosses val="autoZero"/>
        <c:auto val="1"/>
        <c:lblAlgn val="ctr"/>
        <c:lblOffset val="100"/>
        <c:noMultiLvlLbl val="0"/>
      </c:catAx>
      <c:valAx>
        <c:axId val="70302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 Haas Grotesk Text Pro" panose="020B0504020202020204" pitchFamily="34" charset="0"/>
                <a:ea typeface="+mn-ea"/>
                <a:cs typeface="+mn-cs"/>
              </a:defRPr>
            </a:pPr>
            <a:endParaRPr lang="ca-ES"/>
          </a:p>
        </c:txPr>
        <c:crossAx val="7030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8840624143888964E-2"/>
          <c:y val="0.88210035357802441"/>
          <c:w val="0.95394514098160477"/>
          <c:h val="0.102245661915211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ue Haas Grotesk Text Pro" panose="020B0504020202020204" pitchFamily="34" charset="0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57150" cap="flat" cmpd="sng" algn="ctr">
      <a:noFill/>
      <a:round/>
    </a:ln>
    <a:effectLst/>
  </c:spPr>
  <c:txPr>
    <a:bodyPr/>
    <a:lstStyle/>
    <a:p>
      <a:pPr>
        <a:defRPr>
          <a:latin typeface="Neue Haas Grotesk Text Pro" panose="020B0504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 Haas Grotesk Text Pro" panose="020B0504020202020204" pitchFamily="34" charset="0"/>
                <a:ea typeface="+mn-ea"/>
                <a:cs typeface="+mn-cs"/>
              </a:defRPr>
            </a:pPr>
            <a:r>
              <a:rPr lang="ca-ES"/>
              <a:t>ANÀLISI</a:t>
            </a:r>
            <a:r>
              <a:rPr lang="ca-ES" baseline="0"/>
              <a:t> ECONÒMIC</a:t>
            </a:r>
            <a:endParaRPr lang="ca-ES"/>
          </a:p>
        </c:rich>
      </c:tx>
      <c:layout>
        <c:manualLayout>
          <c:xMode val="edge"/>
          <c:yMode val="edge"/>
          <c:x val="0.42287193700787401"/>
          <c:y val="4.085107477998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ue Haas Grotesk Text Pro" panose="020B0504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348665616797902"/>
          <c:y val="0.14471095337072237"/>
          <c:w val="0.82150996325459336"/>
          <c:h val="0.64703655896079615"/>
        </c:manualLayout>
      </c:layout>
      <c:lineChart>
        <c:grouping val="standard"/>
        <c:varyColors val="0"/>
        <c:ser>
          <c:idx val="0"/>
          <c:order val="0"/>
          <c:tx>
            <c:strRef>
              <c:f>'Resum de resultats'!$C$13</c:f>
              <c:strCache>
                <c:ptCount val="1"/>
                <c:pt idx="0">
                  <c:v>Inversió (€)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'Resum de resultats'!$D$4:$G$4</c:f>
              <c:strCache>
                <c:ptCount val="4"/>
                <c:pt idx="0">
                  <c:v>ESCENARI 1</c:v>
                </c:pt>
                <c:pt idx="1">
                  <c:v>ESCENARI 2</c:v>
                </c:pt>
                <c:pt idx="2">
                  <c:v>ESCENARI 3</c:v>
                </c:pt>
                <c:pt idx="3">
                  <c:v>ESCENARI 4</c:v>
                </c:pt>
              </c:strCache>
            </c:strRef>
          </c:cat>
          <c:val>
            <c:numRef>
              <c:f>'Resum de resultats'!$D$13:$G$13</c:f>
              <c:numCache>
                <c:formatCode>#,##0.00\ "€"</c:formatCode>
                <c:ptCount val="4"/>
                <c:pt idx="0">
                  <c:v>19893.333333333332</c:v>
                </c:pt>
                <c:pt idx="1">
                  <c:v>49733.333333333328</c:v>
                </c:pt>
                <c:pt idx="2">
                  <c:v>99466.666666666657</c:v>
                </c:pt>
                <c:pt idx="3">
                  <c:v>124333.33333333334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65-4095-B289-226CB43490BD}"/>
            </c:ext>
          </c:extLst>
        </c:ser>
        <c:ser>
          <c:idx val="2"/>
          <c:order val="1"/>
          <c:tx>
            <c:strRef>
              <c:f>'Resum de resultats'!$C$15</c:f>
              <c:strCache>
                <c:ptCount val="1"/>
                <c:pt idx="0">
                  <c:v>Estalvi anual (€)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'Resum de resultats'!$D$4:$G$4</c:f>
              <c:strCache>
                <c:ptCount val="4"/>
                <c:pt idx="0">
                  <c:v>ESCENARI 1</c:v>
                </c:pt>
                <c:pt idx="1">
                  <c:v>ESCENARI 2</c:v>
                </c:pt>
                <c:pt idx="2">
                  <c:v>ESCENARI 3</c:v>
                </c:pt>
                <c:pt idx="3">
                  <c:v>ESCENARI 4</c:v>
                </c:pt>
              </c:strCache>
            </c:strRef>
          </c:cat>
          <c:val>
            <c:numRef>
              <c:f>'Resum de resultats'!$D$15:$G$15</c:f>
              <c:numCache>
                <c:formatCode>#,##0.00\ "€"</c:formatCode>
                <c:ptCount val="4"/>
                <c:pt idx="0">
                  <c:v>1926</c:v>
                </c:pt>
                <c:pt idx="1">
                  <c:v>4632.75</c:v>
                </c:pt>
                <c:pt idx="2">
                  <c:v>8200.7999999999993</c:v>
                </c:pt>
                <c:pt idx="3">
                  <c:v>9466.875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5-4095-B289-226CB4349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028352"/>
        <c:axId val="703026912"/>
      </c:lineChart>
      <c:lineChart>
        <c:grouping val="standard"/>
        <c:varyColors val="0"/>
        <c:ser>
          <c:idx val="5"/>
          <c:order val="2"/>
          <c:tx>
            <c:strRef>
              <c:f>'Resum de resultats'!$C$17</c:f>
              <c:strCache>
                <c:ptCount val="1"/>
                <c:pt idx="0">
                  <c:v>Rati simple: inversió / estalvi (anys)</c:v>
                </c:pt>
              </c:strCache>
            </c:strRef>
          </c:tx>
          <c:spPr>
            <a:ln w="381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'Resum de resultats'!$D$4:$G$4</c:f>
              <c:strCache>
                <c:ptCount val="4"/>
                <c:pt idx="0">
                  <c:v>ESCENARI 1</c:v>
                </c:pt>
                <c:pt idx="1">
                  <c:v>ESCENARI 2</c:v>
                </c:pt>
                <c:pt idx="2">
                  <c:v>ESCENARI 3</c:v>
                </c:pt>
                <c:pt idx="3">
                  <c:v>ESCENARI 4</c:v>
                </c:pt>
              </c:strCache>
            </c:strRef>
          </c:cat>
          <c:val>
            <c:numRef>
              <c:f>'Resum de resultats'!$D$17:$G$17</c:f>
              <c:numCache>
                <c:formatCode>#,##0.00\ "anys"</c:formatCode>
                <c:ptCount val="4"/>
                <c:pt idx="0">
                  <c:v>10.328833506403599</c:v>
                </c:pt>
                <c:pt idx="1">
                  <c:v>10.735164499127587</c:v>
                </c:pt>
                <c:pt idx="2">
                  <c:v>12.128897993691671</c:v>
                </c:pt>
                <c:pt idx="3">
                  <c:v>13.133513787108559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5-4095-B289-226CB4349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202888"/>
        <c:axId val="557205048"/>
      </c:lineChart>
      <c:catAx>
        <c:axId val="70302835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90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 Haas Grotesk Text Pro" panose="020B0504020202020204" pitchFamily="34" charset="0"/>
                <a:ea typeface="+mn-ea"/>
                <a:cs typeface="+mn-cs"/>
              </a:defRPr>
            </a:pPr>
            <a:endParaRPr lang="ca-ES"/>
          </a:p>
        </c:txPr>
        <c:crossAx val="703026912"/>
        <c:crosses val="autoZero"/>
        <c:auto val="1"/>
        <c:lblAlgn val="ctr"/>
        <c:lblOffset val="100"/>
        <c:tickMarkSkip val="1"/>
        <c:noMultiLvlLbl val="0"/>
      </c:catAx>
      <c:valAx>
        <c:axId val="70302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 Haas Grotesk Text Pro" panose="020B0504020202020204" pitchFamily="34" charset="0"/>
                <a:ea typeface="+mn-ea"/>
                <a:cs typeface="+mn-cs"/>
              </a:defRPr>
            </a:pPr>
            <a:endParaRPr lang="ca-ES"/>
          </a:p>
        </c:txPr>
        <c:crossAx val="703028352"/>
        <c:crosses val="autoZero"/>
        <c:crossBetween val="between"/>
      </c:valAx>
      <c:valAx>
        <c:axId val="557205048"/>
        <c:scaling>
          <c:orientation val="minMax"/>
        </c:scaling>
        <c:delete val="0"/>
        <c:axPos val="r"/>
        <c:numFmt formatCode="#,##0\ &quot;anys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 Haas Grotesk Text Pro" panose="020B0504020202020204" pitchFamily="34" charset="0"/>
                <a:ea typeface="+mn-ea"/>
                <a:cs typeface="+mn-cs"/>
              </a:defRPr>
            </a:pPr>
            <a:endParaRPr lang="ca-ES"/>
          </a:p>
        </c:txPr>
        <c:crossAx val="557202888"/>
        <c:crosses val="max"/>
        <c:crossBetween val="between"/>
      </c:valAx>
      <c:catAx>
        <c:axId val="557202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7205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915124409448819"/>
          <c:y val="0.87492735799694632"/>
          <c:w val="0.60812506036745417"/>
          <c:h val="0.1010855020500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ue Haas Grotesk Text Pro" panose="020B0504020202020204" pitchFamily="34" charset="0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57150" cap="flat" cmpd="sng" algn="ctr">
      <a:noFill/>
      <a:round/>
    </a:ln>
    <a:effectLst/>
  </c:spPr>
  <c:txPr>
    <a:bodyPr/>
    <a:lstStyle/>
    <a:p>
      <a:pPr>
        <a:defRPr>
          <a:latin typeface="Neue Haas Grotesk Text Pro" panose="020B0504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Introducci&#243; consums'!A1"/><Relationship Id="rId2" Type="http://schemas.openxmlformats.org/officeDocument/2006/relationships/hyperlink" Target="#'Resultats - Escenari 1'!A1"/><Relationship Id="rId1" Type="http://schemas.openxmlformats.org/officeDocument/2006/relationships/hyperlink" Target="#'Introducci&#243; criteris'!A1"/><Relationship Id="rId5" Type="http://schemas.openxmlformats.org/officeDocument/2006/relationships/hyperlink" Target="#'Resum de resultats'!A1"/><Relationship Id="rId4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Resum de resultats'!A1"/><Relationship Id="rId1" Type="http://schemas.openxmlformats.org/officeDocument/2006/relationships/hyperlink" Target="#'Introducci&#243; criteri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Resum de resultats'!A1"/><Relationship Id="rId2" Type="http://schemas.openxmlformats.org/officeDocument/2006/relationships/hyperlink" Target="#'Resultats - Escenari 1'!A1"/><Relationship Id="rId1" Type="http://schemas.openxmlformats.org/officeDocument/2006/relationships/hyperlink" Target="#'Introducci&#243; de dades consums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Resultats - Escenari 2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Resultats - Escenari 3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Resultats - Escenari 4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Resum de resultats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'Introducci&#243; consums'!A1"/><Relationship Id="rId4" Type="http://schemas.openxmlformats.org/officeDocument/2006/relationships/hyperlink" Target="#'Introducci&#243; criteri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</xdr:colOff>
      <xdr:row>23</xdr:row>
      <xdr:rowOff>63345</xdr:rowOff>
    </xdr:from>
    <xdr:to>
      <xdr:col>6</xdr:col>
      <xdr:colOff>269080</xdr:colOff>
      <xdr:row>23</xdr:row>
      <xdr:rowOff>550864</xdr:rowOff>
    </xdr:to>
    <xdr:sp macro="" textlink="">
      <xdr:nvSpPr>
        <xdr:cNvPr id="2" name="Rectangle arrodoni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A7A082-F600-4E50-B96F-8B46FD908580}"/>
            </a:ext>
          </a:extLst>
        </xdr:cNvPr>
        <xdr:cNvSpPr/>
      </xdr:nvSpPr>
      <xdr:spPr>
        <a:xfrm>
          <a:off x="2452210" y="7730970"/>
          <a:ext cx="1853089" cy="487519"/>
        </a:xfrm>
        <a:prstGeom prst="roundRect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 b="1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Introducció</a:t>
          </a:r>
          <a:r>
            <a:rPr lang="ca-ES" sz="900" b="1" baseline="0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 de criteris</a:t>
          </a:r>
        </a:p>
      </xdr:txBody>
    </xdr:sp>
    <xdr:clientData/>
  </xdr:twoCellAnchor>
  <xdr:twoCellAnchor>
    <xdr:from>
      <xdr:col>4</xdr:col>
      <xdr:colOff>55244</xdr:colOff>
      <xdr:row>27</xdr:row>
      <xdr:rowOff>247650</xdr:rowOff>
    </xdr:from>
    <xdr:to>
      <xdr:col>6</xdr:col>
      <xdr:colOff>304800</xdr:colOff>
      <xdr:row>29</xdr:row>
      <xdr:rowOff>251300</xdr:rowOff>
    </xdr:to>
    <xdr:sp macro="" textlink="">
      <xdr:nvSpPr>
        <xdr:cNvPr id="3" name="Rectangle arrodonit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690D86-F3E6-438C-96EE-501CCE835741}"/>
            </a:ext>
            <a:ext uri="{147F2762-F138-4A5C-976F-8EAC2B608ADB}">
              <a16:predDERef xmlns:a16="http://schemas.microsoft.com/office/drawing/2014/main" pred="{0A635501-CBEF-471C-ADE3-262B4F9FBF5A}"/>
            </a:ext>
          </a:extLst>
        </xdr:cNvPr>
        <xdr:cNvSpPr/>
      </xdr:nvSpPr>
      <xdr:spPr>
        <a:xfrm>
          <a:off x="2447924" y="9452610"/>
          <a:ext cx="1819276" cy="53705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7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 b="1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Resultats Escenaris</a:t>
          </a:r>
          <a:endParaRPr lang="ca-ES" sz="900" b="1" baseline="0">
            <a:solidFill>
              <a:sysClr val="windowText" lastClr="000000"/>
            </a:solidFill>
            <a:latin typeface="Neue Haas Grotesk Text Pro" panose="020B0504020202020204" pitchFamily="34" charset="0"/>
          </a:endParaRPr>
        </a:p>
      </xdr:txBody>
    </xdr:sp>
    <xdr:clientData/>
  </xdr:twoCellAnchor>
  <xdr:twoCellAnchor>
    <xdr:from>
      <xdr:col>4</xdr:col>
      <xdr:colOff>16986</xdr:colOff>
      <xdr:row>19</xdr:row>
      <xdr:rowOff>75250</xdr:rowOff>
    </xdr:from>
    <xdr:to>
      <xdr:col>6</xdr:col>
      <xdr:colOff>277812</xdr:colOff>
      <xdr:row>21</xdr:row>
      <xdr:rowOff>226219</xdr:rowOff>
    </xdr:to>
    <xdr:sp macro="" textlink="">
      <xdr:nvSpPr>
        <xdr:cNvPr id="5" name="Rectangle arrodonit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D22596-CA67-4C91-97E8-1A38756E81EB}"/>
            </a:ext>
          </a:extLst>
        </xdr:cNvPr>
        <xdr:cNvSpPr/>
      </xdr:nvSpPr>
      <xdr:spPr>
        <a:xfrm>
          <a:off x="2457767" y="6695125"/>
          <a:ext cx="1856264" cy="674844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 b="1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Introducció</a:t>
          </a:r>
          <a:r>
            <a:rPr lang="ca-ES" sz="900" b="1" baseline="0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 de dades</a:t>
          </a:r>
          <a:br>
            <a:rPr lang="ca-ES" sz="900" b="1" baseline="0">
              <a:solidFill>
                <a:sysClr val="windowText" lastClr="000000"/>
              </a:solidFill>
              <a:latin typeface="Neue Haas Grotesk Text Pro" panose="020B0504020202020204" pitchFamily="34" charset="0"/>
            </a:rPr>
          </a:br>
          <a:r>
            <a:rPr lang="ca-ES" sz="900" b="1" baseline="0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de consums</a:t>
          </a:r>
          <a:endParaRPr lang="ca-ES" sz="1050" b="1" baseline="0">
            <a:solidFill>
              <a:sysClr val="windowText" lastClr="000000"/>
            </a:solidFill>
            <a:latin typeface="Neue Haas Grotesk Text Pro" panose="020B0504020202020204" pitchFamily="34" charset="0"/>
          </a:endParaRPr>
        </a:p>
      </xdr:txBody>
    </xdr:sp>
    <xdr:clientData/>
  </xdr:twoCellAnchor>
  <xdr:twoCellAnchor editAs="oneCell">
    <xdr:from>
      <xdr:col>9</xdr:col>
      <xdr:colOff>266700</xdr:colOff>
      <xdr:row>1</xdr:row>
      <xdr:rowOff>190500</xdr:rowOff>
    </xdr:from>
    <xdr:to>
      <xdr:col>12</xdr:col>
      <xdr:colOff>207232</xdr:colOff>
      <xdr:row>3</xdr:row>
      <xdr:rowOff>164562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0B4DF2B8-6D48-47A8-9D8D-D7C7D44E1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6520" y="281940"/>
          <a:ext cx="2319877" cy="770352"/>
        </a:xfrm>
        <a:prstGeom prst="rect">
          <a:avLst/>
        </a:prstGeom>
      </xdr:spPr>
    </xdr:pic>
    <xdr:clientData/>
  </xdr:twoCellAnchor>
  <xdr:twoCellAnchor>
    <xdr:from>
      <xdr:col>4</xdr:col>
      <xdr:colOff>36194</xdr:colOff>
      <xdr:row>31</xdr:row>
      <xdr:rowOff>247650</xdr:rowOff>
    </xdr:from>
    <xdr:to>
      <xdr:col>6</xdr:col>
      <xdr:colOff>285750</xdr:colOff>
      <xdr:row>33</xdr:row>
      <xdr:rowOff>251300</xdr:rowOff>
    </xdr:to>
    <xdr:sp macro="" textlink="">
      <xdr:nvSpPr>
        <xdr:cNvPr id="7" name="Rectangle arrodonit 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E10C3B-D873-44AB-B728-9F851A37385D}"/>
            </a:ext>
            <a:ext uri="{147F2762-F138-4A5C-976F-8EAC2B608ADB}">
              <a16:predDERef xmlns:a16="http://schemas.microsoft.com/office/drawing/2014/main" pred="{0A635501-CBEF-471C-ADE3-262B4F9FBF5A}"/>
            </a:ext>
          </a:extLst>
        </xdr:cNvPr>
        <xdr:cNvSpPr/>
      </xdr:nvSpPr>
      <xdr:spPr>
        <a:xfrm>
          <a:off x="2428874" y="10397490"/>
          <a:ext cx="1819276" cy="537050"/>
        </a:xfrm>
        <a:prstGeom prst="roundRect">
          <a:avLst/>
        </a:prstGeom>
        <a:solidFill>
          <a:schemeClr val="accent5"/>
        </a:solidFill>
        <a:ln>
          <a:solidFill>
            <a:schemeClr val="accent5">
              <a:lumMod val="60000"/>
              <a:lumOff val="40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 b="1">
              <a:solidFill>
                <a:schemeClr val="bg1"/>
              </a:solidFill>
              <a:latin typeface="Neue Haas Grotesk Text Pro" panose="020B0504020202020204" pitchFamily="34" charset="0"/>
            </a:rPr>
            <a:t>Resum de resultats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47626</xdr:colOff>
      <xdr:row>55</xdr:row>
      <xdr:rowOff>166687</xdr:rowOff>
    </xdr:from>
    <xdr:to>
      <xdr:col>11</xdr:col>
      <xdr:colOff>135415</xdr:colOff>
      <xdr:row>58</xdr:row>
      <xdr:rowOff>112075</xdr:rowOff>
    </xdr:to>
    <xdr:sp macro="" textlink="">
      <xdr:nvSpPr>
        <xdr:cNvPr id="2" name="Rectangle arrodoni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DA3945-4819-46D8-9DCB-8E8DC08A1EAE}"/>
            </a:ext>
          </a:extLst>
        </xdr:cNvPr>
        <xdr:cNvSpPr/>
      </xdr:nvSpPr>
      <xdr:spPr>
        <a:xfrm>
          <a:off x="12156282" y="10537031"/>
          <a:ext cx="1849914" cy="481169"/>
        </a:xfrm>
        <a:prstGeom prst="roundRect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 b="1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Introducció</a:t>
          </a:r>
          <a:r>
            <a:rPr lang="ca-ES" sz="900" b="1" baseline="0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 de criteris </a:t>
          </a:r>
          <a:r>
            <a:rPr lang="ca-ES" sz="900" b="1" baseline="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→</a:t>
          </a:r>
          <a:endParaRPr lang="ca-ES" sz="900" b="1" baseline="0">
            <a:solidFill>
              <a:sysClr val="windowText" lastClr="000000"/>
            </a:solidFill>
            <a:latin typeface="Neue Haas Grotesk Text Pro" panose="020B0504020202020204" pitchFamily="34" charset="0"/>
          </a:endParaRPr>
        </a:p>
      </xdr:txBody>
    </xdr:sp>
    <xdr:clientData/>
  </xdr:twoCellAnchor>
  <xdr:twoCellAnchor>
    <xdr:from>
      <xdr:col>14</xdr:col>
      <xdr:colOff>206533</xdr:colOff>
      <xdr:row>55</xdr:row>
      <xdr:rowOff>145413</xdr:rowOff>
    </xdr:from>
    <xdr:to>
      <xdr:col>15</xdr:col>
      <xdr:colOff>1164115</xdr:colOff>
      <xdr:row>58</xdr:row>
      <xdr:rowOff>130970</xdr:rowOff>
    </xdr:to>
    <xdr:sp macro="" textlink="">
      <xdr:nvSpPr>
        <xdr:cNvPr id="3" name="Rectangle arrodonit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D44FFC-39A1-404D-822F-01696F52A022}"/>
            </a:ext>
            <a:ext uri="{147F2762-F138-4A5C-976F-8EAC2B608ADB}">
              <a16:predDERef xmlns:a16="http://schemas.microsoft.com/office/drawing/2014/main" pred="{0A635501-CBEF-471C-ADE3-262B4F9FBF5A}"/>
            </a:ext>
          </a:extLst>
        </xdr:cNvPr>
        <xdr:cNvSpPr/>
      </xdr:nvSpPr>
      <xdr:spPr>
        <a:xfrm>
          <a:off x="16720502" y="10515757"/>
          <a:ext cx="1838644" cy="521338"/>
        </a:xfrm>
        <a:prstGeom prst="roundRect">
          <a:avLst/>
        </a:prstGeom>
        <a:solidFill>
          <a:schemeClr val="accent5"/>
        </a:solidFill>
        <a:ln>
          <a:solidFill>
            <a:schemeClr val="accent5">
              <a:lumMod val="60000"/>
              <a:lumOff val="40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 b="1">
              <a:solidFill>
                <a:schemeClr val="bg1"/>
              </a:solidFill>
              <a:latin typeface="Neue Haas Grotesk Text Pro" panose="020B0504020202020204" pitchFamily="34" charset="0"/>
            </a:rPr>
            <a:t>Resum de resultats </a:t>
          </a:r>
          <a:r>
            <a:rPr lang="ca-ES" sz="9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→</a:t>
          </a:r>
          <a:endParaRPr lang="ca-ES" sz="900" b="1">
            <a:solidFill>
              <a:schemeClr val="bg1"/>
            </a:solidFill>
            <a:latin typeface="Neue Haas Grotesk Text Pro" panose="020B05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83931</xdr:colOff>
      <xdr:row>36</xdr:row>
      <xdr:rowOff>140820</xdr:rowOff>
    </xdr:from>
    <xdr:to>
      <xdr:col>3</xdr:col>
      <xdr:colOff>204881</xdr:colOff>
      <xdr:row>39</xdr:row>
      <xdr:rowOff>38069</xdr:rowOff>
    </xdr:to>
    <xdr:sp macro="" textlink="">
      <xdr:nvSpPr>
        <xdr:cNvPr id="2" name="Rectangle arrodoni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66BCA-97F9-40FE-AA17-C4696ECD790A}"/>
            </a:ext>
          </a:extLst>
        </xdr:cNvPr>
        <xdr:cNvSpPr/>
      </xdr:nvSpPr>
      <xdr:spPr>
        <a:xfrm>
          <a:off x="184784" y="6416114"/>
          <a:ext cx="2462979" cy="435131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7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 b="1">
              <a:solidFill>
                <a:sysClr val="windowText" lastClr="000000"/>
              </a:solidFill>
              <a:latin typeface="Neue Haas Grotesk Text Pro" panose="020B0504020202020204" pitchFamily="34" charset="0"/>
              <a:cs typeface="Calibri" panose="020F0502020204030204" pitchFamily="34" charset="0"/>
            </a:rPr>
            <a:t>← </a:t>
          </a:r>
          <a:r>
            <a:rPr lang="ca-ES" sz="900" b="1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Introducció</a:t>
          </a:r>
          <a:r>
            <a:rPr lang="ca-ES" sz="900" b="1" baseline="0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 de dades de consum </a:t>
          </a:r>
          <a:endParaRPr lang="ca-ES" sz="1050" b="1" baseline="0">
            <a:solidFill>
              <a:sysClr val="windowText" lastClr="000000"/>
            </a:solidFill>
            <a:latin typeface="Neue Haas Grotesk Text Pro" panose="020B0504020202020204" pitchFamily="34" charset="0"/>
          </a:endParaRPr>
        </a:p>
      </xdr:txBody>
    </xdr:sp>
    <xdr:clientData/>
  </xdr:twoCellAnchor>
  <xdr:twoCellAnchor>
    <xdr:from>
      <xdr:col>10</xdr:col>
      <xdr:colOff>14381</xdr:colOff>
      <xdr:row>36</xdr:row>
      <xdr:rowOff>120089</xdr:rowOff>
    </xdr:from>
    <xdr:to>
      <xdr:col>11</xdr:col>
      <xdr:colOff>247409</xdr:colOff>
      <xdr:row>38</xdr:row>
      <xdr:rowOff>168088</xdr:rowOff>
    </xdr:to>
    <xdr:sp macro="" textlink="">
      <xdr:nvSpPr>
        <xdr:cNvPr id="3" name="Rectangle arrodonit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491E62-C41C-4203-AF4D-3DB7348FAB90}"/>
            </a:ext>
            <a:ext uri="{147F2762-F138-4A5C-976F-8EAC2B608ADB}">
              <a16:predDERef xmlns:a16="http://schemas.microsoft.com/office/drawing/2014/main" pred="{0A635501-CBEF-471C-ADE3-262B4F9FBF5A}"/>
            </a:ext>
          </a:extLst>
        </xdr:cNvPr>
        <xdr:cNvSpPr/>
      </xdr:nvSpPr>
      <xdr:spPr>
        <a:xfrm>
          <a:off x="8418793" y="6137648"/>
          <a:ext cx="1835469" cy="40658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7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 b="1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Resultats Escenaris </a:t>
          </a:r>
          <a:r>
            <a:rPr lang="ca-ES" sz="900" b="1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→</a:t>
          </a:r>
          <a:endParaRPr lang="ca-ES" sz="900" b="1" baseline="0">
            <a:solidFill>
              <a:sysClr val="windowText" lastClr="000000"/>
            </a:solidFill>
            <a:latin typeface="Neue Haas Grotesk Text Pro" panose="020B0504020202020204" pitchFamily="34" charset="0"/>
          </a:endParaRPr>
        </a:p>
      </xdr:txBody>
    </xdr:sp>
    <xdr:clientData/>
  </xdr:twoCellAnchor>
  <xdr:twoCellAnchor>
    <xdr:from>
      <xdr:col>12</xdr:col>
      <xdr:colOff>44823</xdr:colOff>
      <xdr:row>36</xdr:row>
      <xdr:rowOff>123264</xdr:rowOff>
    </xdr:from>
    <xdr:to>
      <xdr:col>14</xdr:col>
      <xdr:colOff>26465</xdr:colOff>
      <xdr:row>38</xdr:row>
      <xdr:rowOff>176119</xdr:rowOff>
    </xdr:to>
    <xdr:sp macro="" textlink="">
      <xdr:nvSpPr>
        <xdr:cNvPr id="4" name="Rectangle arrodonit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6507F4-A4B8-412F-8D07-B0F51F209EC0}"/>
            </a:ext>
            <a:ext uri="{147F2762-F138-4A5C-976F-8EAC2B608ADB}">
              <a16:predDERef xmlns:a16="http://schemas.microsoft.com/office/drawing/2014/main" pred="{0A635501-CBEF-471C-ADE3-262B4F9FBF5A}"/>
            </a:ext>
          </a:extLst>
        </xdr:cNvPr>
        <xdr:cNvSpPr/>
      </xdr:nvSpPr>
      <xdr:spPr>
        <a:xfrm>
          <a:off x="10399058" y="6140823"/>
          <a:ext cx="1841819" cy="411443"/>
        </a:xfrm>
        <a:prstGeom prst="roundRect">
          <a:avLst/>
        </a:prstGeom>
        <a:solidFill>
          <a:schemeClr val="accent5"/>
        </a:solidFill>
        <a:ln>
          <a:solidFill>
            <a:schemeClr val="accent5">
              <a:lumMod val="60000"/>
              <a:lumOff val="40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 b="1">
              <a:solidFill>
                <a:schemeClr val="bg1"/>
              </a:solidFill>
              <a:latin typeface="Neue Haas Grotesk Text Pro" panose="020B0504020202020204" pitchFamily="34" charset="0"/>
            </a:rPr>
            <a:t>Resum de resultats </a:t>
          </a:r>
          <a:r>
            <a:rPr lang="ca-ES" sz="9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→</a:t>
          </a:r>
          <a:endParaRPr lang="ca-ES" sz="900" b="1">
            <a:solidFill>
              <a:schemeClr val="bg1"/>
            </a:solidFill>
            <a:latin typeface="Neue Haas Grotesk Text Pro" panose="020B05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1504951</xdr:colOff>
      <xdr:row>1</xdr:row>
      <xdr:rowOff>19051</xdr:rowOff>
    </xdr:from>
    <xdr:to>
      <xdr:col>9</xdr:col>
      <xdr:colOff>1543051</xdr:colOff>
      <xdr:row>1</xdr:row>
      <xdr:rowOff>273051</xdr:rowOff>
    </xdr:to>
    <xdr:sp macro="" textlink="">
      <xdr:nvSpPr>
        <xdr:cNvPr id="2" name="Rectangle arrodoni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B823E0-58D3-4764-9F28-93EE1EC6E935}"/>
            </a:ext>
            <a:ext uri="{147F2762-F138-4A5C-976F-8EAC2B608ADB}">
              <a16:predDERef xmlns:a16="http://schemas.microsoft.com/office/drawing/2014/main" pred="{0A635501-CBEF-471C-ADE3-262B4F9FBF5A}"/>
            </a:ext>
          </a:extLst>
        </xdr:cNvPr>
        <xdr:cNvSpPr/>
      </xdr:nvSpPr>
      <xdr:spPr>
        <a:xfrm>
          <a:off x="11182351" y="352426"/>
          <a:ext cx="1809750" cy="254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7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 b="1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Resultats Escenari</a:t>
          </a:r>
          <a:r>
            <a:rPr lang="ca-ES" sz="900" b="1" baseline="0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 2</a:t>
          </a:r>
          <a:r>
            <a:rPr lang="ca-ES" sz="900" b="1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 </a:t>
          </a:r>
          <a:r>
            <a:rPr lang="ca-ES" sz="900" b="1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→</a:t>
          </a:r>
          <a:endParaRPr lang="ca-ES" sz="900" b="1" baseline="0">
            <a:solidFill>
              <a:sysClr val="windowText" lastClr="000000"/>
            </a:solidFill>
            <a:latin typeface="Neue Haas Grotesk Text Pro" panose="020B05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1490382</xdr:colOff>
      <xdr:row>1</xdr:row>
      <xdr:rowOff>11206</xdr:rowOff>
    </xdr:from>
    <xdr:to>
      <xdr:col>9</xdr:col>
      <xdr:colOff>1531658</xdr:colOff>
      <xdr:row>1</xdr:row>
      <xdr:rowOff>268381</xdr:rowOff>
    </xdr:to>
    <xdr:sp macro="" textlink="">
      <xdr:nvSpPr>
        <xdr:cNvPr id="2" name="Rectangle arrodoni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657806-6DCB-48A0-B466-291A9446CCD6}"/>
            </a:ext>
            <a:ext uri="{147F2762-F138-4A5C-976F-8EAC2B608ADB}">
              <a16:predDERef xmlns:a16="http://schemas.microsoft.com/office/drawing/2014/main" pred="{0A635501-CBEF-471C-ADE3-262B4F9FBF5A}"/>
            </a:ext>
          </a:extLst>
        </xdr:cNvPr>
        <xdr:cNvSpPr/>
      </xdr:nvSpPr>
      <xdr:spPr>
        <a:xfrm>
          <a:off x="11430000" y="347382"/>
          <a:ext cx="1811805" cy="257175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7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 b="1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Resultats Escenari</a:t>
          </a:r>
          <a:r>
            <a:rPr lang="ca-ES" sz="900" b="1" baseline="0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 3</a:t>
          </a:r>
          <a:r>
            <a:rPr lang="ca-ES" sz="900" b="1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 </a:t>
          </a:r>
          <a:r>
            <a:rPr lang="ca-ES" sz="900" b="1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→</a:t>
          </a:r>
          <a:endParaRPr lang="ca-ES" sz="900" b="1" baseline="0">
            <a:solidFill>
              <a:sysClr val="windowText" lastClr="000000"/>
            </a:solidFill>
            <a:latin typeface="Neue Haas Grotesk Text Pro" panose="020B05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1490382</xdr:colOff>
      <xdr:row>1</xdr:row>
      <xdr:rowOff>11206</xdr:rowOff>
    </xdr:from>
    <xdr:to>
      <xdr:col>9</xdr:col>
      <xdr:colOff>1528482</xdr:colOff>
      <xdr:row>1</xdr:row>
      <xdr:rowOff>265206</xdr:rowOff>
    </xdr:to>
    <xdr:sp macro="" textlink="">
      <xdr:nvSpPr>
        <xdr:cNvPr id="3" name="Rectangle arrodoni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569810-2004-4FDE-B627-D89997BDE6B7}"/>
            </a:ext>
            <a:ext uri="{147F2762-F138-4A5C-976F-8EAC2B608ADB}">
              <a16:predDERef xmlns:a16="http://schemas.microsoft.com/office/drawing/2014/main" pred="{0A635501-CBEF-471C-ADE3-262B4F9FBF5A}"/>
            </a:ext>
          </a:extLst>
        </xdr:cNvPr>
        <xdr:cNvSpPr/>
      </xdr:nvSpPr>
      <xdr:spPr>
        <a:xfrm>
          <a:off x="11575676" y="347382"/>
          <a:ext cx="1808630" cy="254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75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 b="1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Resultats Escenari</a:t>
          </a:r>
          <a:r>
            <a:rPr lang="ca-ES" sz="900" b="1" baseline="0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 4</a:t>
          </a:r>
          <a:r>
            <a:rPr lang="ca-ES" sz="900" b="1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 </a:t>
          </a:r>
          <a:r>
            <a:rPr lang="ca-ES" sz="900" b="1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→</a:t>
          </a:r>
          <a:endParaRPr lang="ca-ES" sz="900" b="1" baseline="0">
            <a:solidFill>
              <a:sysClr val="windowText" lastClr="000000"/>
            </a:solidFill>
            <a:latin typeface="Neue Haas Grotesk Text Pro" panose="020B05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1467970</xdr:colOff>
      <xdr:row>1</xdr:row>
      <xdr:rowOff>25587</xdr:rowOff>
    </xdr:from>
    <xdr:to>
      <xdr:col>9</xdr:col>
      <xdr:colOff>1542435</xdr:colOff>
      <xdr:row>1</xdr:row>
      <xdr:rowOff>268942</xdr:rowOff>
    </xdr:to>
    <xdr:sp macro="" textlink="">
      <xdr:nvSpPr>
        <xdr:cNvPr id="2" name="Rectangle arrodoni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D1C4D-0D08-4352-9999-4CFD41E8752F}"/>
            </a:ext>
            <a:ext uri="{147F2762-F138-4A5C-976F-8EAC2B608ADB}">
              <a16:predDERef xmlns:a16="http://schemas.microsoft.com/office/drawing/2014/main" pred="{0A635501-CBEF-471C-ADE3-262B4F9FBF5A}"/>
            </a:ext>
          </a:extLst>
        </xdr:cNvPr>
        <xdr:cNvSpPr/>
      </xdr:nvSpPr>
      <xdr:spPr>
        <a:xfrm>
          <a:off x="11665323" y="361763"/>
          <a:ext cx="1844994" cy="243355"/>
        </a:xfrm>
        <a:prstGeom prst="roundRect">
          <a:avLst/>
        </a:prstGeom>
        <a:solidFill>
          <a:schemeClr val="accent5"/>
        </a:solidFill>
        <a:ln>
          <a:solidFill>
            <a:schemeClr val="accent5">
              <a:lumMod val="60000"/>
              <a:lumOff val="40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 b="1">
              <a:solidFill>
                <a:schemeClr val="bg1"/>
              </a:solidFill>
              <a:latin typeface="Neue Haas Grotesk Text Pro" panose="020B0504020202020204" pitchFamily="34" charset="0"/>
            </a:rPr>
            <a:t>Resum de resultats </a:t>
          </a:r>
          <a:r>
            <a:rPr lang="ca-ES" sz="9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→</a:t>
          </a:r>
          <a:endParaRPr lang="ca-ES" sz="900" b="1">
            <a:solidFill>
              <a:schemeClr val="bg1"/>
            </a:solidFill>
            <a:latin typeface="Neue Haas Grotesk Text Pro" panose="020B05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38097</xdr:rowOff>
    </xdr:from>
    <xdr:to>
      <xdr:col>3</xdr:col>
      <xdr:colOff>1703161</xdr:colOff>
      <xdr:row>35</xdr:row>
      <xdr:rowOff>263768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5512D60A-5F19-54E6-C919-4030679A0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1636059</xdr:colOff>
      <xdr:row>20</xdr:row>
      <xdr:rowOff>31882</xdr:rowOff>
    </xdr:from>
    <xdr:to>
      <xdr:col>6</xdr:col>
      <xdr:colOff>1606737</xdr:colOff>
      <xdr:row>35</xdr:row>
      <xdr:rowOff>276411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5F820EC4-B85E-40DB-A98E-67674981A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11339</xdr:colOff>
      <xdr:row>36</xdr:row>
      <xdr:rowOff>22678</xdr:rowOff>
    </xdr:from>
    <xdr:to>
      <xdr:col>6</xdr:col>
      <xdr:colOff>1587500</xdr:colOff>
      <xdr:row>36</xdr:row>
      <xdr:rowOff>3753302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DAE30138-3E3D-407D-9022-6DA5D3903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2310093</xdr:colOff>
      <xdr:row>39</xdr:row>
      <xdr:rowOff>68777</xdr:rowOff>
    </xdr:from>
    <xdr:to>
      <xdr:col>4</xdr:col>
      <xdr:colOff>670122</xdr:colOff>
      <xdr:row>42</xdr:row>
      <xdr:rowOff>11206</xdr:rowOff>
    </xdr:to>
    <xdr:sp macro="" textlink="">
      <xdr:nvSpPr>
        <xdr:cNvPr id="3" name="Rectangle arrodonit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E3D768-B761-4C0D-9F8F-9BC7B12C2A7B}"/>
            </a:ext>
          </a:extLst>
        </xdr:cNvPr>
        <xdr:cNvSpPr/>
      </xdr:nvSpPr>
      <xdr:spPr>
        <a:xfrm>
          <a:off x="3677211" y="14726071"/>
          <a:ext cx="3256999" cy="480311"/>
        </a:xfrm>
        <a:prstGeom prst="roundRect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 b="1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← </a:t>
          </a:r>
          <a:r>
            <a:rPr lang="ca-ES" sz="900" b="1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Introducció</a:t>
          </a:r>
          <a:r>
            <a:rPr lang="ca-ES" sz="900" b="1" baseline="0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 de criteris</a:t>
          </a:r>
        </a:p>
      </xdr:txBody>
    </xdr:sp>
    <xdr:clientData/>
  </xdr:twoCellAnchor>
  <xdr:twoCellAnchor>
    <xdr:from>
      <xdr:col>1</xdr:col>
      <xdr:colOff>115936</xdr:colOff>
      <xdr:row>39</xdr:row>
      <xdr:rowOff>56030</xdr:rowOff>
    </xdr:from>
    <xdr:to>
      <xdr:col>2</xdr:col>
      <xdr:colOff>1999504</xdr:colOff>
      <xdr:row>42</xdr:row>
      <xdr:rowOff>36794</xdr:rowOff>
    </xdr:to>
    <xdr:sp macro="" textlink="">
      <xdr:nvSpPr>
        <xdr:cNvPr id="6" name="Rectangle arrodonit 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DDB67A-D3EF-40DD-BF7B-C56688A5CC5A}"/>
            </a:ext>
          </a:extLst>
        </xdr:cNvPr>
        <xdr:cNvSpPr/>
      </xdr:nvSpPr>
      <xdr:spPr>
        <a:xfrm>
          <a:off x="183171" y="14713324"/>
          <a:ext cx="3183451" cy="518646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50000"/>
            </a:schemeClr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 b="1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← </a:t>
          </a:r>
          <a:r>
            <a:rPr lang="ca-ES" sz="900" b="1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Introducció</a:t>
          </a:r>
          <a:r>
            <a:rPr lang="ca-ES" sz="900" b="1" baseline="0">
              <a:solidFill>
                <a:sysClr val="windowText" lastClr="000000"/>
              </a:solidFill>
              <a:latin typeface="Neue Haas Grotesk Text Pro" panose="020B0504020202020204" pitchFamily="34" charset="0"/>
            </a:rPr>
            <a:t> de dades de consums</a:t>
          </a:r>
          <a:endParaRPr lang="ca-ES" sz="1050" b="1" baseline="0">
            <a:solidFill>
              <a:sysClr val="windowText" lastClr="000000"/>
            </a:solidFill>
            <a:latin typeface="Neue Haas Grotesk Text Pro" panose="020B05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a2" displayName="Taula2" ref="A3:P53" totalsRowShown="0" headerRowDxfId="80" tableBorderDxfId="79">
  <autoFilter ref="A3:P53" xr:uid="{00000000-0009-0000-0100-000001000000}"/>
  <tableColumns count="16">
    <tableColumn id="1" xr3:uid="{00000000-0010-0000-0000-000001000000}" name="Num equip./subm." dataDxfId="78" dataCellStyle="Neutral"/>
    <tableColumn id="15" xr3:uid="{CCF00C31-A2A7-4A40-8540-3D27CA4E9621}" name="Tipus subministrament" dataDxfId="77"/>
    <tableColumn id="2" xr3:uid="{00000000-0010-0000-0000-000002000000}" name="Nom equipament" dataDxfId="76" dataCellStyle="Neutral">
      <calculatedColumnFormula>CONCATENATE(Taula2[[#This Row],[Tipus subministrament]]," ",Taula2[[#This Row],[Num equip./subm.]])</calculatedColumnFormula>
    </tableColumn>
    <tableColumn id="3" xr3:uid="{00000000-0010-0000-0000-000003000000}" name="CUPS" dataDxfId="75" dataCellStyle="Neutral"/>
    <tableColumn id="4" xr3:uid="{00000000-0010-0000-0000-000004000000}" name="DIRECCIÓ SUBMINISTRAMENT" dataDxfId="74" dataCellStyle="Neutral"/>
    <tableColumn id="20" xr3:uid="{00000000-0010-0000-0000-000014000000}" name="REF. CATASTRAL" dataDxfId="73" dataCellStyle="Neutral"/>
    <tableColumn id="5" xr3:uid="{00000000-0010-0000-0000-000005000000}" name="TARIFA" dataDxfId="72" dataCellStyle="Neutral"/>
    <tableColumn id="6" xr3:uid="{00000000-0010-0000-0000-000006000000}" name="POT P6" dataDxfId="71" dataCellStyle="Neutral"/>
    <tableColumn id="7" xr3:uid="{00000000-0010-0000-0000-000007000000}" name="MAX max" dataDxfId="70" dataCellStyle="Neutral"/>
    <tableColumn id="8" xr3:uid="{00000000-0010-0000-0000-000008000000}" name="CONSUM P1" dataDxfId="69" dataCellStyle="Neutral"/>
    <tableColumn id="9" xr3:uid="{00000000-0010-0000-0000-000009000000}" name="CONSUM P2" dataDxfId="68" dataCellStyle="Neutral"/>
    <tableColumn id="10" xr3:uid="{00000000-0010-0000-0000-00000A000000}" name="CONSUM P3" dataDxfId="67" dataCellStyle="Neutral"/>
    <tableColumn id="11" xr3:uid="{00000000-0010-0000-0000-00000B000000}" name="CONSUM P4" dataDxfId="66" dataCellStyle="Neutral"/>
    <tableColumn id="12" xr3:uid="{00000000-0010-0000-0000-00000C000000}" name="CONSUM P5" dataDxfId="65" dataCellStyle="Neutral"/>
    <tableColumn id="13" xr3:uid="{00000000-0010-0000-0000-00000D000000}" name="CONSUM P6" dataDxfId="64" dataCellStyle="Neutral"/>
    <tableColumn id="14" xr3:uid="{00000000-0010-0000-0000-00000E000000}" name="CONSUM TOTAL" dataDxfId="63" dataCellStyle="Neutral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7662A-DB05-4A8A-8038-038A3B7A337C}" name="Taula3" displayName="Taula3" ref="A3:J53" totalsRowShown="0" headerRowDxfId="52" dataDxfId="51" headerRowBorderDxfId="49" tableBorderDxfId="50">
  <autoFilter ref="A3:J53" xr:uid="{4A17662A-DB05-4A8A-8038-038A3B7A337C}"/>
  <tableColumns count="10">
    <tableColumn id="1" xr3:uid="{41006B48-F382-4686-A4D9-F17DD78D06FA}" name="nº" dataDxfId="48">
      <calculatedColumnFormula>'Introducció consums'!A4</calculatedColumnFormula>
    </tableColumn>
    <tableColumn id="10" xr3:uid="{8C4078B4-4998-4195-B439-77A4B8580E37}" name="Tipus subministrament" dataDxfId="47"/>
    <tableColumn id="2" xr3:uid="{6B1FD8FE-4ABB-4B7E-9081-62A8D062632B}" name="Nom equipament" dataDxfId="46">
      <calculatedColumnFormula>'Introducció consums'!C4</calculatedColumnFormula>
    </tableColumn>
    <tableColumn id="3" xr3:uid="{2DD5488D-DC4B-4760-BC2B-C7BF1B20D3C4}" name="Producció" dataDxfId="45">
      <calculatedColumnFormula>Taula2[[#This Row],[CONSUM TOTAL]]*'Introducció criteris'!$E$11</calculatedColumnFormula>
    </tableColumn>
    <tableColumn id="4" xr3:uid="{8FCAF043-B3BE-491D-BB10-7D9090F9D91D}" name="Potència pic" dataDxfId="44">
      <calculatedColumnFormula>Taula3[[#This Row],[Producció]]/'Introducció criteris'!$E$21</calculatedColumnFormula>
    </tableColumn>
    <tableColumn id="5" xr3:uid="{ECE66069-B7E2-4190-AA25-A95A410A8A4B}" name="Superfície FV necessària" dataDxfId="43">
      <calculatedColumnFormula>+Taula3[[#This Row],[Potència pic]]/'Introducció criteris'!$E$23</calculatedColumnFormula>
    </tableColumn>
    <tableColumn id="6" xr3:uid="{EB99132B-AE87-495F-9CF0-BBD8CCDFA75D}" name="Autoconsum instantani" dataDxfId="42">
      <calculatedColumnFormula>IF(Taula3[[#This Row],[Tipus subministrament]]="Quadre EP",0,Taula3[[#This Row],[Producció]]*'Introducció criteris'!$G$11)</calculatedColumnFormula>
    </tableColumn>
    <tableColumn id="7" xr3:uid="{76C54806-495E-493A-B1D6-1828B45ACED5}" name="Energia compensada" dataDxfId="41">
      <calculatedColumnFormula>Taula3[[#This Row],[Producció]]-Taula3[[#This Row],[Autoconsum instantani]]-Taula3[[#This Row],[Abocament a xarxa sense compensar]]</calculatedColumnFormula>
    </tableColumn>
    <tableColumn id="8" xr3:uid="{9E11AFC1-15CB-4823-8AA3-74300A47519A}" name="Abocament a xarxa sense compensar" dataDxfId="40">
      <calculatedColumnFormula>Taula38[[#This Row],[Producció]]*'Introducció criteris'!$I$13</calculatedColumnFormula>
    </tableColumn>
    <tableColumn id="9" xr3:uid="{5D3DAF51-7B09-4A94-BD48-385C436119BA}" name="Consum de xarxa" dataDxfId="39">
      <calculatedColumnFormula>Taula2[[#This Row],[CONSUM TOTAL]]-Taula3[[#This Row],[Autoconsum instantani]]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82D3BF7-0458-470A-BA81-C63501B5A20D}" name="Taula38" displayName="Taula38" ref="A3:J53" totalsRowShown="0" headerRowDxfId="38" dataDxfId="37" headerRowBorderDxfId="35" tableBorderDxfId="36">
  <autoFilter ref="A3:J53" xr:uid="{4A17662A-DB05-4A8A-8038-038A3B7A337C}"/>
  <tableColumns count="10">
    <tableColumn id="1" xr3:uid="{CFA37D5F-72A6-4CD4-8A17-DC65BFA6B7B9}" name="nº" dataDxfId="34">
      <calculatedColumnFormula>'Introducció consums'!A4</calculatedColumnFormula>
    </tableColumn>
    <tableColumn id="10" xr3:uid="{3B849185-ED9B-45DC-8251-9890AC770842}" name="Tipus subministrament" dataDxfId="33"/>
    <tableColumn id="2" xr3:uid="{3C57830A-FC21-4A5E-BA1A-871E9E7B731F}" name="Nom equipament">
      <calculatedColumnFormula>'Introducció consums'!C4</calculatedColumnFormula>
    </tableColumn>
    <tableColumn id="3" xr3:uid="{F14B4A12-BA53-46ED-8702-D655BCB02D04}" name="Producció" dataDxfId="32">
      <calculatedColumnFormula>Taula2[[#This Row],[CONSUM TOTAL]]*'Introducció criteris'!$E$13</calculatedColumnFormula>
    </tableColumn>
    <tableColumn id="4" xr3:uid="{C84AC689-E142-4EB0-94D1-C3BF388AB114}" name="Potència pic" dataDxfId="31">
      <calculatedColumnFormula>Taula38[[#This Row],[Producció]]/'Introducció criteris'!$E$21</calculatedColumnFormula>
    </tableColumn>
    <tableColumn id="5" xr3:uid="{6522EA36-BACA-432B-A13D-6524022556BF}" name="Superfície FV necessària" dataDxfId="30">
      <calculatedColumnFormula>+Taula38[[#This Row],[Potència pic]]/'Introducció criteris'!$E$23</calculatedColumnFormula>
    </tableColumn>
    <tableColumn id="6" xr3:uid="{2F063BA8-7163-494B-8EA6-A3C1CE094A52}" name="Autoconsum instantani" dataDxfId="29">
      <calculatedColumnFormula>IF(Taula38[[#This Row],[Tipus subministrament]]="Quadre EP",0,Taula38[[#This Row],[Producció]]*'Introducció criteris'!$G$13)</calculatedColumnFormula>
    </tableColumn>
    <tableColumn id="7" xr3:uid="{3A015F2B-E1F2-4B36-80DE-BEF8A63BDB34}" name="Energia compensada" dataDxfId="28">
      <calculatedColumnFormula>Taula38[[#This Row],[Producció]]-Taula38[[#This Row],[Autoconsum instantani]]-Taula38[[#This Row],[Abocament a xarxa sense compensar]]</calculatedColumnFormula>
    </tableColumn>
    <tableColumn id="8" xr3:uid="{00814905-873B-49F0-BF63-BB55ABC07334}" name="Abocament a xarxa sense compensar" dataDxfId="27">
      <calculatedColumnFormula>Taula38[[#This Row],[Producció]]*'Introducció criteris'!$I$13</calculatedColumnFormula>
    </tableColumn>
    <tableColumn id="9" xr3:uid="{38D69667-C2E1-4FCB-B1FC-DCF7CFFCE914}" name="Consum de xarxa" dataDxfId="26">
      <calculatedColumnFormula>Taula2[[#This Row],[CONSUM TOTAL]]-Taula38[[#This Row],[Autoconsum instantani]]</calculatedColumnFormula>
    </tableColumn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3D125C3-870E-4EE8-AAF3-7AF15A619E28}" name="Taula389" displayName="Taula389" ref="A3:J53" totalsRowShown="0" headerRowDxfId="25" dataDxfId="24" headerRowBorderDxfId="22" tableBorderDxfId="23">
  <autoFilter ref="A3:J53" xr:uid="{4A17662A-DB05-4A8A-8038-038A3B7A337C}"/>
  <tableColumns count="10">
    <tableColumn id="1" xr3:uid="{2166EBC9-CA69-44CD-84B0-6C66C8C911EF}" name="nº" dataDxfId="21">
      <calculatedColumnFormula>'Introducció consums'!A4</calculatedColumnFormula>
    </tableColumn>
    <tableColumn id="10" xr3:uid="{4DBA0F0E-1B9A-4EB4-A05E-D68CDCC70F39}" name="Tipus subministrament" dataDxfId="20"/>
    <tableColumn id="2" xr3:uid="{578C556B-BCEC-43BC-A19D-FEDC9AE4476C}" name="Nom equipament">
      <calculatedColumnFormula>'Introducció consums'!C4</calculatedColumnFormula>
    </tableColumn>
    <tableColumn id="3" xr3:uid="{D8447316-5D10-4B6F-8AE1-D37CB487D6A0}" name="Producció" dataDxfId="19">
      <calculatedColumnFormula>Taula2[[#This Row],[CONSUM TOTAL]]*'Introducció criteris'!$E$15</calculatedColumnFormula>
    </tableColumn>
    <tableColumn id="4" xr3:uid="{A02E2005-2515-49DE-8664-567EFE4BDB90}" name="Potència pic" dataDxfId="18">
      <calculatedColumnFormula>Taula389[[#This Row],[Producció]]/'Introducció criteris'!$E$21</calculatedColumnFormula>
    </tableColumn>
    <tableColumn id="5" xr3:uid="{67BF734F-9B3F-431F-BC83-4C05541B8373}" name="Superfície FV necessària" dataDxfId="17">
      <calculatedColumnFormula>+Taula389[[#This Row],[Potència pic]]/'Introducció criteris'!$E$23</calculatedColumnFormula>
    </tableColumn>
    <tableColumn id="6" xr3:uid="{8AB636E8-2012-471B-8B6E-4B1B3BD3A4AB}" name="Autoconsum instantani" dataDxfId="16">
      <calculatedColumnFormula>IF(Taula389[[#This Row],[Tipus subministrament]]="Quadre EP",0,Taula389[[#This Row],[Producció]]*'Introducció criteris'!$G$15)</calculatedColumnFormula>
    </tableColumn>
    <tableColumn id="7" xr3:uid="{542A089E-0265-4A06-A113-B66674F0122F}" name="Energia compensada" dataDxfId="15">
      <calculatedColumnFormula>Taula389[[#This Row],[Producció]]-Taula389[[#This Row],[Autoconsum instantani]]-Taula389[[#This Row],[Abocament a xarxa sense compensar]]</calculatedColumnFormula>
    </tableColumn>
    <tableColumn id="8" xr3:uid="{4959F4CF-CA14-4061-AC52-8BE61B09E874}" name="Abocament a xarxa sense compensar" dataDxfId="14">
      <calculatedColumnFormula>Taula389[[#This Row],[Producció]]*'Introducció criteris'!$I$15</calculatedColumnFormula>
    </tableColumn>
    <tableColumn id="9" xr3:uid="{238DC318-A0F1-45BC-9C41-717B68716335}" name="Consum de xarxa" dataDxfId="13">
      <calculatedColumnFormula>Taula2[[#This Row],[CONSUM TOTAL]]-Taula389[[#This Row],[Autoconsum instantani]]</calculatedColumn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AAEEE1C-812A-4090-A4D3-C26F200296BB}" name="Taula38910" displayName="Taula38910" ref="A3:J53" totalsRowShown="0" headerRowDxfId="12" dataDxfId="11" headerRowBorderDxfId="9" tableBorderDxfId="10">
  <autoFilter ref="A3:J53" xr:uid="{4A17662A-DB05-4A8A-8038-038A3B7A337C}"/>
  <tableColumns count="10">
    <tableColumn id="1" xr3:uid="{BF1791AA-75EA-482F-9049-EAF2B071C2D3}" name="nº" dataDxfId="8">
      <calculatedColumnFormula>'Introducció consums'!A4</calculatedColumnFormula>
    </tableColumn>
    <tableColumn id="10" xr3:uid="{F45D559D-2C87-4E1B-97BE-669BD70AE809}" name="Tipus subministrament" dataDxfId="7"/>
    <tableColumn id="2" xr3:uid="{460DF32F-BB58-4DD9-806A-B43B45FAF5AC}" name="Nom equipament">
      <calculatedColumnFormula>'Introducció consums'!C4</calculatedColumnFormula>
    </tableColumn>
    <tableColumn id="3" xr3:uid="{C416A54E-63AC-4C85-8B11-BA6E0B38D8ED}" name="Producció" dataDxfId="6">
      <calculatedColumnFormula>Taula2[[#This Row],[CONSUM TOTAL]]*'Introducció criteris'!$E$17</calculatedColumnFormula>
    </tableColumn>
    <tableColumn id="4" xr3:uid="{0701FDD0-EF46-43D4-8D24-F3C322234716}" name="Potència pic" dataDxfId="5">
      <calculatedColumnFormula>Taula38910[[#This Row],[Producció]]/'Introducció criteris'!$E$21</calculatedColumnFormula>
    </tableColumn>
    <tableColumn id="5" xr3:uid="{2469F81C-0DF5-4BC8-B30A-78EAE002BBA9}" name="Superfície FV necessària" dataDxfId="4">
      <calculatedColumnFormula>+Taula38910[[#This Row],[Potència pic]]/'Introducció criteris'!$E$23</calculatedColumnFormula>
    </tableColumn>
    <tableColumn id="6" xr3:uid="{3DF388C0-FBAF-4CA3-BE8A-5ACF235C80FB}" name="Autoconsum instantani" dataDxfId="3">
      <calculatedColumnFormula>IF(Taula38910[[#This Row],[Tipus subministrament]]="Quadre EP",0,Taula38910[[#This Row],[Producció]]*'Introducció criteris'!$G$17)</calculatedColumnFormula>
    </tableColumn>
    <tableColumn id="7" xr3:uid="{D4E8F9D3-7666-4265-B6B0-B87D3A06822C}" name="Energia compensada" dataDxfId="2">
      <calculatedColumnFormula>Taula38910[[#This Row],[Producció]]-Taula38910[[#This Row],[Autoconsum instantani]]-Taula38910[[#This Row],[Abocament a xarxa sense compensar]]</calculatedColumnFormula>
    </tableColumn>
    <tableColumn id="8" xr3:uid="{0E202D63-DFBF-49C5-8D1B-4AA529795A1A}" name="Abocament a xarxa sense compensar" dataDxfId="1">
      <calculatedColumnFormula>Taula38910[[#This Row],[Producció]]*'Introducció criteris'!$I$17</calculatedColumnFormula>
    </tableColumn>
    <tableColumn id="9" xr3:uid="{D639A8CB-7425-4F3E-AD19-52D800DE4F67}" name="Consum de xarxa" dataDxfId="0">
      <calculatedColumnFormula>Taula2[[#This Row],[CONSUM TOTAL]]-Taula38910[[#This Row],[Autoconsum instantani]]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DDA5-8259-4CF2-B554-834115669167}">
  <sheetPr>
    <tabColor rgb="FFC00000"/>
  </sheetPr>
  <dimension ref="A1:V75"/>
  <sheetViews>
    <sheetView showGridLines="0" tabSelected="1" topLeftCell="A5" zoomScale="70" zoomScaleNormal="70" workbookViewId="0">
      <selection activeCell="V17" sqref="V17"/>
    </sheetView>
  </sheetViews>
  <sheetFormatPr defaultColWidth="8.85546875" defaultRowHeight="13.15"/>
  <cols>
    <col min="1" max="1" width="1.7109375" style="53" customWidth="1"/>
    <col min="2" max="2" width="2.85546875" style="53" customWidth="1"/>
    <col min="3" max="3" width="26.85546875" style="53" customWidth="1"/>
    <col min="4" max="4" width="3.28515625" style="53" customWidth="1"/>
    <col min="5" max="6" width="11.42578125" style="53" customWidth="1"/>
    <col min="7" max="7" width="9.42578125" style="53" customWidth="1"/>
    <col min="8" max="10" width="11.42578125" style="53" customWidth="1"/>
    <col min="11" max="11" width="11.7109375" style="53" customWidth="1"/>
    <col min="12" max="12" width="11.42578125" style="53" customWidth="1"/>
    <col min="13" max="13" width="19.28515625" style="53" customWidth="1"/>
    <col min="14" max="15" width="11.42578125" style="53" customWidth="1"/>
    <col min="16" max="16" width="9.28515625" style="53" customWidth="1"/>
    <col min="17" max="17" width="9.140625" style="53" customWidth="1"/>
    <col min="18" max="18" width="11.42578125" style="53" customWidth="1"/>
    <col min="19" max="19" width="13" style="53" customWidth="1"/>
    <col min="20" max="20" width="3" style="53" customWidth="1"/>
    <col min="21" max="21" width="1.5703125" style="53" customWidth="1"/>
    <col min="22" max="256" width="11.42578125" style="53" customWidth="1"/>
    <col min="257" max="16384" width="8.85546875" style="53"/>
  </cols>
  <sheetData>
    <row r="1" spans="1:22" s="37" customFormat="1" ht="7.1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2" s="40" customFormat="1" ht="31.1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8"/>
    </row>
    <row r="3" spans="1:22" s="40" customFormat="1" ht="31.1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8"/>
    </row>
    <row r="4" spans="1:22" s="40" customFormat="1" ht="33.6" customHeigh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8"/>
    </row>
    <row r="5" spans="1:22" s="40" customFormat="1" ht="20.45" customHeight="1">
      <c r="A5" s="38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38"/>
    </row>
    <row r="6" spans="1:22" s="40" customFormat="1" ht="24.6" customHeight="1">
      <c r="A6" s="38"/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1"/>
      <c r="U6" s="38"/>
    </row>
    <row r="7" spans="1:22" s="40" customFormat="1" ht="69" customHeight="1">
      <c r="A7" s="38"/>
      <c r="B7" s="41"/>
      <c r="C7" s="42"/>
      <c r="D7" s="260" t="s">
        <v>0</v>
      </c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43"/>
      <c r="T7" s="44"/>
      <c r="U7" s="38"/>
    </row>
    <row r="8" spans="1:22" s="40" customFormat="1" ht="19.899999999999999" customHeight="1">
      <c r="A8" s="38"/>
      <c r="B8" s="41"/>
      <c r="C8" s="42"/>
      <c r="D8" s="42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4"/>
      <c r="U8" s="46"/>
      <c r="V8" s="47"/>
    </row>
    <row r="9" spans="1:22" s="40" customFormat="1" ht="31.15">
      <c r="A9" s="38"/>
      <c r="B9" s="41"/>
      <c r="C9" s="262" t="s">
        <v>1</v>
      </c>
      <c r="D9" s="262"/>
      <c r="E9" s="262"/>
      <c r="F9" s="262"/>
      <c r="G9" s="262"/>
      <c r="H9" s="262"/>
      <c r="I9" s="262"/>
      <c r="J9" s="262"/>
      <c r="K9" s="262"/>
      <c r="L9" s="48"/>
      <c r="M9" s="49">
        <v>45792</v>
      </c>
      <c r="N9" s="45"/>
      <c r="O9" s="45"/>
      <c r="P9" s="45"/>
      <c r="Q9" s="45"/>
      <c r="R9" s="45"/>
      <c r="S9" s="45"/>
      <c r="T9" s="44"/>
      <c r="U9" s="46"/>
      <c r="V9" s="47"/>
    </row>
    <row r="10" spans="1:22" s="40" customFormat="1" ht="9.6" customHeight="1">
      <c r="A10" s="38"/>
      <c r="B10" s="41"/>
      <c r="C10" s="50"/>
      <c r="D10" s="50"/>
      <c r="E10" s="50"/>
      <c r="F10" s="50"/>
      <c r="G10" s="50"/>
      <c r="H10" s="50"/>
      <c r="I10" s="50"/>
      <c r="J10" s="50"/>
      <c r="K10" s="50"/>
      <c r="L10" s="51"/>
      <c r="M10" s="45"/>
      <c r="N10" s="45"/>
      <c r="O10" s="45"/>
      <c r="P10" s="45"/>
      <c r="Q10" s="45"/>
      <c r="R10" s="45"/>
      <c r="S10" s="45"/>
      <c r="T10" s="44"/>
      <c r="U10" s="46"/>
      <c r="V10" s="47"/>
    </row>
    <row r="11" spans="1:22" s="40" customFormat="1" ht="7.15" customHeight="1">
      <c r="A11" s="38"/>
      <c r="B11" s="41"/>
      <c r="C11" s="42"/>
      <c r="D11" s="42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4"/>
      <c r="U11" s="46"/>
      <c r="V11" s="47"/>
    </row>
    <row r="12" spans="1:22" s="40" customFormat="1" ht="16.149999999999999" customHeight="1">
      <c r="A12" s="38"/>
      <c r="B12" s="41"/>
      <c r="C12" s="41"/>
      <c r="D12" s="41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6"/>
      <c r="V12" s="47"/>
    </row>
    <row r="13" spans="1:22" s="40" customFormat="1" ht="21.6" customHeight="1">
      <c r="A13" s="38"/>
      <c r="B13" s="63"/>
      <c r="C13" s="63"/>
      <c r="D13" s="63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64"/>
      <c r="R13" s="64"/>
      <c r="S13" s="64"/>
      <c r="T13" s="64"/>
      <c r="U13" s="46"/>
      <c r="V13" s="47"/>
    </row>
    <row r="14" spans="1:22" s="37" customFormat="1" ht="79.900000000000006" customHeight="1">
      <c r="A14" s="36"/>
      <c r="B14" s="65"/>
      <c r="C14" s="66" t="s">
        <v>2</v>
      </c>
      <c r="D14" s="65"/>
      <c r="E14" s="263" t="s">
        <v>3</v>
      </c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36"/>
    </row>
    <row r="15" spans="1:22" s="37" customFormat="1" ht="21">
      <c r="A15" s="36"/>
      <c r="B15" s="65"/>
      <c r="C15" s="67"/>
      <c r="D15" s="65"/>
      <c r="E15" s="264"/>
      <c r="F15" s="264"/>
      <c r="G15" s="264"/>
      <c r="H15" s="264"/>
      <c r="I15" s="264"/>
      <c r="J15" s="264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36"/>
    </row>
    <row r="16" spans="1:22" s="37" customFormat="1" ht="36.6" customHeight="1">
      <c r="A16" s="36"/>
      <c r="B16" s="65"/>
      <c r="C16" s="265" t="s">
        <v>4</v>
      </c>
      <c r="D16" s="65"/>
      <c r="E16" s="266" t="s">
        <v>5</v>
      </c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70"/>
      <c r="U16" s="36"/>
    </row>
    <row r="17" spans="1:21" s="37" customFormat="1" ht="20.45" customHeight="1">
      <c r="A17" s="36"/>
      <c r="B17" s="65"/>
      <c r="C17" s="265"/>
      <c r="D17" s="65"/>
      <c r="E17" s="267" t="s">
        <v>6</v>
      </c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70"/>
      <c r="U17" s="36"/>
    </row>
    <row r="18" spans="1:21" s="37" customFormat="1" ht="22.15" customHeight="1">
      <c r="A18" s="36"/>
      <c r="B18" s="65"/>
      <c r="C18" s="67"/>
      <c r="D18" s="65"/>
      <c r="E18" s="235" t="s">
        <v>7</v>
      </c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7"/>
      <c r="R18" s="237"/>
      <c r="S18" s="237"/>
      <c r="T18" s="70"/>
      <c r="U18" s="36"/>
    </row>
    <row r="19" spans="1:21" s="37" customFormat="1" ht="21">
      <c r="A19" s="36"/>
      <c r="B19" s="65"/>
      <c r="C19" s="67"/>
      <c r="D19" s="65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3"/>
      <c r="R19" s="73"/>
      <c r="S19" s="73"/>
      <c r="T19" s="73"/>
      <c r="U19" s="36"/>
    </row>
    <row r="20" spans="1:21" s="37" customFormat="1" ht="21">
      <c r="A20" s="36"/>
      <c r="B20" s="65"/>
      <c r="C20" s="269" t="s">
        <v>8</v>
      </c>
      <c r="D20" s="69"/>
      <c r="E20" s="73"/>
      <c r="F20" s="73"/>
      <c r="G20" s="73"/>
      <c r="H20" s="238" t="s">
        <v>9</v>
      </c>
      <c r="I20" s="239"/>
      <c r="J20" s="239"/>
      <c r="K20" s="239"/>
      <c r="L20" s="239"/>
      <c r="M20" s="239"/>
      <c r="N20" s="240"/>
      <c r="O20" s="240"/>
      <c r="P20" s="240"/>
      <c r="Q20" s="241"/>
      <c r="R20" s="241"/>
      <c r="S20" s="241"/>
      <c r="T20" s="73"/>
      <c r="U20" s="36"/>
    </row>
    <row r="21" spans="1:21" s="37" customFormat="1" ht="21">
      <c r="A21" s="36"/>
      <c r="B21" s="65"/>
      <c r="C21" s="265"/>
      <c r="D21" s="69"/>
      <c r="E21" s="73"/>
      <c r="F21" s="73"/>
      <c r="G21" s="73"/>
      <c r="H21" s="239"/>
      <c r="I21" s="242"/>
      <c r="J21" s="236" t="s">
        <v>10</v>
      </c>
      <c r="K21" s="236"/>
      <c r="L21" s="239"/>
      <c r="M21" s="239"/>
      <c r="N21" s="240"/>
      <c r="O21" s="240"/>
      <c r="P21" s="240"/>
      <c r="Q21" s="241"/>
      <c r="R21" s="241"/>
      <c r="S21" s="241"/>
      <c r="T21" s="73"/>
      <c r="U21" s="36"/>
    </row>
    <row r="22" spans="1:21" s="37" customFormat="1" ht="21">
      <c r="A22" s="36"/>
      <c r="B22" s="65"/>
      <c r="C22" s="265"/>
      <c r="D22" s="69"/>
      <c r="E22" s="73"/>
      <c r="F22" s="73"/>
      <c r="G22" s="73"/>
      <c r="H22" s="239"/>
      <c r="I22" s="243"/>
      <c r="J22" s="236" t="s">
        <v>11</v>
      </c>
      <c r="K22" s="236"/>
      <c r="L22" s="239"/>
      <c r="M22" s="239"/>
      <c r="N22" s="240"/>
      <c r="O22" s="240"/>
      <c r="P22" s="240"/>
      <c r="Q22" s="241"/>
      <c r="R22" s="241"/>
      <c r="S22" s="241"/>
      <c r="T22" s="73"/>
      <c r="U22" s="36"/>
    </row>
    <row r="23" spans="1:21" s="37" customFormat="1" ht="21">
      <c r="A23" s="36"/>
      <c r="B23" s="69"/>
      <c r="C23" s="69"/>
      <c r="D23" s="69"/>
      <c r="E23" s="73"/>
      <c r="F23" s="73"/>
      <c r="G23" s="73"/>
      <c r="H23" s="239"/>
      <c r="I23" s="236"/>
      <c r="J23" s="236"/>
      <c r="K23" s="236"/>
      <c r="L23" s="239"/>
      <c r="M23" s="239"/>
      <c r="N23" s="239"/>
      <c r="O23" s="241"/>
      <c r="P23" s="241"/>
      <c r="Q23" s="241"/>
      <c r="R23" s="241"/>
      <c r="S23" s="241"/>
      <c r="T23" s="73"/>
      <c r="U23" s="36"/>
    </row>
    <row r="24" spans="1:21" s="37" customFormat="1" ht="61.5" customHeight="1">
      <c r="A24" s="36"/>
      <c r="B24" s="65"/>
      <c r="C24" s="265"/>
      <c r="D24" s="65"/>
      <c r="E24" s="73"/>
      <c r="F24" s="72"/>
      <c r="G24" s="73"/>
      <c r="H24" s="274" t="s">
        <v>12</v>
      </c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73"/>
      <c r="U24" s="36"/>
    </row>
    <row r="25" spans="1:21" s="37" customFormat="1" ht="21">
      <c r="A25" s="36"/>
      <c r="B25" s="69"/>
      <c r="C25" s="265"/>
      <c r="D25" s="69"/>
      <c r="E25" s="73"/>
      <c r="F25" s="73"/>
      <c r="G25" s="73"/>
      <c r="H25" s="239"/>
      <c r="I25" s="242"/>
      <c r="J25" s="236" t="s">
        <v>10</v>
      </c>
      <c r="K25" s="236"/>
      <c r="L25" s="239"/>
      <c r="M25" s="239"/>
      <c r="N25" s="239"/>
      <c r="O25" s="241"/>
      <c r="P25" s="241"/>
      <c r="Q25" s="241"/>
      <c r="R25" s="241"/>
      <c r="S25" s="241"/>
      <c r="T25" s="73"/>
      <c r="U25" s="36"/>
    </row>
    <row r="26" spans="1:21" s="37" customFormat="1" ht="21">
      <c r="A26" s="36"/>
      <c r="B26" s="69"/>
      <c r="C26" s="265"/>
      <c r="D26" s="69"/>
      <c r="E26" s="73"/>
      <c r="F26" s="73"/>
      <c r="G26" s="73"/>
      <c r="H26" s="239"/>
      <c r="I26" s="243"/>
      <c r="J26" s="236" t="s">
        <v>11</v>
      </c>
      <c r="K26" s="236"/>
      <c r="L26" s="239"/>
      <c r="M26" s="239"/>
      <c r="N26" s="239"/>
      <c r="O26" s="241"/>
      <c r="P26" s="241"/>
      <c r="Q26" s="241"/>
      <c r="R26" s="241"/>
      <c r="S26" s="241"/>
      <c r="T26" s="73"/>
      <c r="U26" s="36"/>
    </row>
    <row r="27" spans="1:21" s="37" customFormat="1" ht="9" customHeight="1">
      <c r="A27" s="36"/>
      <c r="B27" s="69"/>
      <c r="C27" s="68"/>
      <c r="D27" s="69"/>
      <c r="E27" s="73"/>
      <c r="F27" s="73"/>
      <c r="G27" s="73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3"/>
      <c r="U27" s="36"/>
    </row>
    <row r="28" spans="1:21" s="37" customFormat="1" ht="21">
      <c r="A28" s="36"/>
      <c r="B28" s="69"/>
      <c r="C28" s="69"/>
      <c r="D28" s="69"/>
      <c r="E28" s="73"/>
      <c r="F28" s="73"/>
      <c r="G28" s="73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3"/>
      <c r="U28" s="36"/>
    </row>
    <row r="29" spans="1:21" s="37" customFormat="1" ht="21">
      <c r="A29" s="36"/>
      <c r="B29" s="69"/>
      <c r="C29" s="69"/>
      <c r="D29" s="69"/>
      <c r="E29" s="73"/>
      <c r="F29" s="73"/>
      <c r="G29" s="73"/>
      <c r="H29" s="238" t="s">
        <v>13</v>
      </c>
      <c r="I29" s="75"/>
      <c r="J29" s="75"/>
      <c r="K29" s="75"/>
      <c r="L29" s="75"/>
      <c r="M29" s="75"/>
      <c r="N29" s="75"/>
      <c r="O29" s="73"/>
      <c r="P29" s="73"/>
      <c r="Q29" s="73"/>
      <c r="R29" s="73"/>
      <c r="S29" s="73"/>
      <c r="T29" s="73"/>
      <c r="U29" s="36"/>
    </row>
    <row r="30" spans="1:21" s="37" customFormat="1" ht="21">
      <c r="A30" s="36"/>
      <c r="B30" s="69"/>
      <c r="C30" s="69"/>
      <c r="D30" s="69"/>
      <c r="E30" s="73"/>
      <c r="F30" s="73"/>
      <c r="G30" s="73"/>
      <c r="H30" s="74"/>
      <c r="I30" s="74"/>
      <c r="J30" s="71"/>
      <c r="K30" s="75"/>
      <c r="L30" s="75"/>
      <c r="M30" s="75"/>
      <c r="N30" s="75"/>
      <c r="O30" s="73"/>
      <c r="P30" s="73"/>
      <c r="Q30" s="73"/>
      <c r="R30" s="73"/>
      <c r="S30" s="73"/>
      <c r="T30" s="73"/>
      <c r="U30" s="36"/>
    </row>
    <row r="31" spans="1:21" s="37" customFormat="1" ht="11.45" customHeight="1">
      <c r="A31" s="36"/>
      <c r="B31" s="69"/>
      <c r="C31" s="69"/>
      <c r="D31" s="69"/>
      <c r="E31" s="73"/>
      <c r="F31" s="73"/>
      <c r="G31" s="73"/>
      <c r="H31" s="75"/>
      <c r="I31" s="75"/>
      <c r="J31" s="71"/>
      <c r="K31" s="75"/>
      <c r="L31" s="75"/>
      <c r="M31" s="75"/>
      <c r="N31" s="75"/>
      <c r="O31" s="73"/>
      <c r="P31" s="73"/>
      <c r="Q31" s="73"/>
      <c r="R31" s="73"/>
      <c r="S31" s="73"/>
      <c r="T31" s="73"/>
      <c r="U31" s="36"/>
    </row>
    <row r="32" spans="1:21" s="37" customFormat="1" ht="21">
      <c r="A32" s="36"/>
      <c r="B32" s="69"/>
      <c r="C32" s="69"/>
      <c r="D32" s="69"/>
      <c r="E32" s="73"/>
      <c r="F32" s="73"/>
      <c r="G32" s="73"/>
      <c r="H32" s="75"/>
      <c r="I32" s="75"/>
      <c r="J32" s="71"/>
      <c r="K32" s="75"/>
      <c r="L32" s="75"/>
      <c r="M32" s="75"/>
      <c r="N32" s="75"/>
      <c r="O32" s="73"/>
      <c r="P32" s="73"/>
      <c r="Q32" s="73"/>
      <c r="R32" s="73"/>
      <c r="S32" s="73"/>
      <c r="T32" s="73"/>
      <c r="U32" s="36"/>
    </row>
    <row r="33" spans="1:21" s="37" customFormat="1" ht="21">
      <c r="A33" s="36"/>
      <c r="B33" s="69"/>
      <c r="C33" s="69"/>
      <c r="D33" s="69"/>
      <c r="E33" s="73"/>
      <c r="F33" s="73"/>
      <c r="G33" s="73"/>
      <c r="H33" s="238" t="s">
        <v>14</v>
      </c>
      <c r="I33" s="75"/>
      <c r="J33" s="71"/>
      <c r="K33" s="75"/>
      <c r="L33" s="75"/>
      <c r="M33" s="75"/>
      <c r="N33" s="75"/>
      <c r="O33" s="73"/>
      <c r="P33" s="73"/>
      <c r="Q33" s="73"/>
      <c r="R33" s="73"/>
      <c r="S33" s="73"/>
      <c r="T33" s="73"/>
      <c r="U33" s="36"/>
    </row>
    <row r="34" spans="1:21" s="37" customFormat="1" ht="21">
      <c r="A34" s="36"/>
      <c r="B34" s="69"/>
      <c r="C34" s="69"/>
      <c r="D34" s="69"/>
      <c r="E34" s="73"/>
      <c r="F34" s="73"/>
      <c r="G34" s="73"/>
      <c r="H34" s="74"/>
      <c r="I34" s="75"/>
      <c r="J34" s="71"/>
      <c r="K34" s="75"/>
      <c r="L34" s="75"/>
      <c r="M34" s="75"/>
      <c r="N34" s="75"/>
      <c r="O34" s="73"/>
      <c r="P34" s="73"/>
      <c r="Q34" s="73"/>
      <c r="R34" s="73"/>
      <c r="S34" s="73"/>
      <c r="T34" s="73"/>
      <c r="U34" s="36"/>
    </row>
    <row r="35" spans="1:21" s="37" customFormat="1" ht="11.45" customHeight="1">
      <c r="A35" s="36"/>
      <c r="B35" s="69"/>
      <c r="C35" s="69"/>
      <c r="D35" s="69"/>
      <c r="E35" s="73"/>
      <c r="F35" s="73"/>
      <c r="G35" s="73"/>
      <c r="H35" s="75"/>
      <c r="I35" s="75"/>
      <c r="J35" s="71"/>
      <c r="K35" s="75"/>
      <c r="L35" s="75"/>
      <c r="M35" s="75"/>
      <c r="N35" s="75"/>
      <c r="O35" s="73"/>
      <c r="P35" s="73"/>
      <c r="Q35" s="73"/>
      <c r="R35" s="73"/>
      <c r="S35" s="73"/>
      <c r="T35" s="73"/>
      <c r="U35" s="36"/>
    </row>
    <row r="36" spans="1:21" s="37" customFormat="1" ht="14.45" customHeight="1">
      <c r="A36" s="36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36"/>
    </row>
    <row r="37" spans="1:21" s="37" customFormat="1" ht="7.15" customHeight="1">
      <c r="A37" s="36"/>
      <c r="B37" s="36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36"/>
      <c r="Q37" s="36"/>
      <c r="R37" s="36"/>
      <c r="S37" s="36"/>
      <c r="T37" s="36"/>
      <c r="U37" s="36"/>
    </row>
    <row r="39" spans="1:21" ht="15.6"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</row>
    <row r="40" spans="1:21" ht="15.6"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</row>
    <row r="41" spans="1:21" ht="15.6"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54"/>
      <c r="Q41" s="54"/>
      <c r="R41" s="54"/>
      <c r="S41" s="54"/>
    </row>
    <row r="42" spans="1:21" ht="45" customHeight="1">
      <c r="C42" s="273"/>
      <c r="D42" s="273"/>
      <c r="E42" s="273"/>
      <c r="F42" s="273"/>
      <c r="G42" s="273"/>
      <c r="H42" s="273"/>
      <c r="I42" s="273"/>
      <c r="J42" s="273"/>
      <c r="K42" s="273"/>
    </row>
    <row r="43" spans="1:21" ht="14.45">
      <c r="E43" s="55"/>
      <c r="F43" s="55"/>
      <c r="G43" s="55"/>
    </row>
    <row r="44" spans="1:21" ht="14.45">
      <c r="E44" s="55"/>
      <c r="F44" s="56"/>
      <c r="G44" s="55"/>
    </row>
    <row r="45" spans="1:21" ht="14.45">
      <c r="E45" s="55"/>
      <c r="F45" s="57"/>
      <c r="G45" s="55"/>
    </row>
    <row r="46" spans="1:21" ht="14.45">
      <c r="E46" s="55"/>
      <c r="F46" s="57"/>
      <c r="G46" s="55"/>
      <c r="H46" s="55"/>
    </row>
    <row r="47" spans="1:21" ht="14.45">
      <c r="E47" s="55"/>
      <c r="F47" s="57"/>
      <c r="G47" s="55"/>
      <c r="H47" s="55"/>
    </row>
    <row r="48" spans="1:21" ht="14.45">
      <c r="F48" s="57"/>
    </row>
    <row r="49" spans="5:20" ht="14.45">
      <c r="F49" s="56"/>
    </row>
    <row r="52" spans="5:20" ht="14.45">
      <c r="E52" s="55"/>
      <c r="F52" s="55"/>
      <c r="G52" s="55"/>
    </row>
    <row r="54" spans="5:20" ht="15.6">
      <c r="I54" s="58"/>
    </row>
    <row r="55" spans="5:20" ht="14.45">
      <c r="I55" s="37"/>
    </row>
    <row r="56" spans="5:20" ht="15.6">
      <c r="I56" s="54"/>
    </row>
    <row r="57" spans="5:20" ht="15.6">
      <c r="I57" s="54"/>
    </row>
    <row r="58" spans="5:20" ht="15.6">
      <c r="F58" s="59"/>
      <c r="G58" s="59"/>
      <c r="H58" s="60"/>
      <c r="I58" s="61"/>
      <c r="J58" s="60"/>
      <c r="K58" s="61"/>
      <c r="L58" s="60"/>
      <c r="M58" s="61"/>
      <c r="N58" s="60"/>
      <c r="O58" s="61"/>
      <c r="P58" s="59"/>
      <c r="Q58" s="59"/>
      <c r="R58" s="59"/>
      <c r="S58" s="59"/>
      <c r="T58" s="59"/>
    </row>
    <row r="59" spans="5:20" ht="15.6">
      <c r="F59" s="268"/>
      <c r="G59" s="268"/>
      <c r="H59" s="268"/>
      <c r="I59" s="268"/>
      <c r="J59" s="268"/>
      <c r="K59" s="268"/>
      <c r="L59" s="268"/>
      <c r="M59" s="268"/>
      <c r="N59" s="268"/>
      <c r="O59" s="268"/>
      <c r="P59" s="268"/>
      <c r="Q59" s="268"/>
      <c r="R59" s="268"/>
      <c r="S59" s="268"/>
      <c r="T59" s="268"/>
    </row>
    <row r="60" spans="5:20" ht="15.6"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8"/>
      <c r="T60" s="268"/>
    </row>
    <row r="61" spans="5:20" ht="15.6">
      <c r="F61" s="268"/>
      <c r="G61" s="268"/>
      <c r="H61" s="268"/>
      <c r="I61" s="268"/>
      <c r="J61" s="268"/>
      <c r="K61" s="268"/>
      <c r="L61" s="268"/>
      <c r="M61" s="268"/>
      <c r="N61" s="268"/>
      <c r="O61" s="268"/>
      <c r="P61" s="268"/>
      <c r="Q61" s="268"/>
      <c r="R61" s="268"/>
      <c r="S61" s="268"/>
      <c r="T61" s="268"/>
    </row>
    <row r="62" spans="5:20" ht="15.6">
      <c r="F62" s="268"/>
      <c r="G62" s="268"/>
      <c r="H62" s="268"/>
      <c r="I62" s="268"/>
      <c r="J62" s="268"/>
      <c r="K62" s="268"/>
      <c r="L62" s="268"/>
      <c r="M62" s="268"/>
      <c r="N62" s="268"/>
      <c r="O62" s="268"/>
      <c r="P62" s="268"/>
      <c r="Q62" s="268"/>
      <c r="R62" s="268"/>
      <c r="S62" s="268"/>
      <c r="T62" s="268"/>
    </row>
    <row r="63" spans="5:20" ht="15.6"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68"/>
      <c r="T63" s="268"/>
    </row>
    <row r="64" spans="5:20" ht="15.6"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8"/>
      <c r="T64" s="268"/>
    </row>
    <row r="65" spans="6:20" ht="15.6">
      <c r="F65" s="268"/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268"/>
      <c r="S65" s="268"/>
      <c r="T65" s="268"/>
    </row>
    <row r="66" spans="6:20" ht="15.6"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6:20" ht="15.6">
      <c r="F67" s="275"/>
      <c r="G67" s="275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</row>
    <row r="68" spans="6:20" ht="15.6">
      <c r="F68" s="268"/>
      <c r="G68" s="268"/>
      <c r="H68" s="268"/>
      <c r="I68" s="268"/>
      <c r="J68" s="268"/>
      <c r="K68" s="268"/>
      <c r="L68" s="268"/>
      <c r="M68" s="268"/>
      <c r="N68" s="268"/>
      <c r="O68" s="268"/>
      <c r="P68" s="268"/>
      <c r="Q68" s="268"/>
      <c r="R68" s="268"/>
      <c r="S68" s="268"/>
      <c r="T68" s="268"/>
    </row>
    <row r="69" spans="6:20" ht="15.6">
      <c r="F69" s="275"/>
      <c r="G69" s="275"/>
      <c r="H69" s="275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</row>
    <row r="70" spans="6:20" ht="15.6"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</row>
    <row r="71" spans="6:20" ht="15.6"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</row>
    <row r="72" spans="6:20" ht="15.6">
      <c r="F72" s="268"/>
      <c r="G72" s="268"/>
      <c r="H72" s="268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</row>
    <row r="73" spans="6:20" ht="15.6">
      <c r="F73" s="275"/>
      <c r="G73" s="275"/>
      <c r="H73" s="275"/>
      <c r="I73" s="275"/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</row>
    <row r="74" spans="6:20" ht="15.6">
      <c r="F74" s="268"/>
      <c r="G74" s="268"/>
      <c r="H74" s="268"/>
      <c r="I74" s="268"/>
      <c r="J74" s="268"/>
      <c r="K74" s="268"/>
      <c r="L74" s="268"/>
      <c r="M74" s="268"/>
      <c r="N74" s="268"/>
      <c r="O74" s="268"/>
      <c r="P74" s="268"/>
      <c r="Q74" s="268"/>
      <c r="R74" s="268"/>
      <c r="S74" s="268"/>
      <c r="T74" s="268"/>
    </row>
    <row r="75" spans="6:20" ht="15.6">
      <c r="F75" s="268"/>
      <c r="G75" s="268"/>
      <c r="H75" s="268"/>
      <c r="I75" s="268"/>
      <c r="J75" s="268"/>
      <c r="K75" s="268"/>
      <c r="L75" s="268"/>
      <c r="M75" s="268"/>
      <c r="N75" s="268"/>
      <c r="O75" s="268"/>
      <c r="P75" s="268"/>
      <c r="Q75" s="268"/>
      <c r="R75" s="268"/>
      <c r="S75" s="268"/>
      <c r="T75" s="268"/>
    </row>
  </sheetData>
  <mergeCells count="31">
    <mergeCell ref="F75:T75"/>
    <mergeCell ref="F63:T63"/>
    <mergeCell ref="F64:T64"/>
    <mergeCell ref="F65:T65"/>
    <mergeCell ref="F67:T67"/>
    <mergeCell ref="F68:T68"/>
    <mergeCell ref="F69:T69"/>
    <mergeCell ref="F70:T70"/>
    <mergeCell ref="F71:T71"/>
    <mergeCell ref="F72:T72"/>
    <mergeCell ref="F73:T73"/>
    <mergeCell ref="F74:T74"/>
    <mergeCell ref="F62:T62"/>
    <mergeCell ref="C20:C22"/>
    <mergeCell ref="C24:C26"/>
    <mergeCell ref="C37:O37"/>
    <mergeCell ref="E39:S39"/>
    <mergeCell ref="E40:S40"/>
    <mergeCell ref="E41:O41"/>
    <mergeCell ref="C42:K42"/>
    <mergeCell ref="F59:T59"/>
    <mergeCell ref="F60:T60"/>
    <mergeCell ref="F61:T61"/>
    <mergeCell ref="H24:S24"/>
    <mergeCell ref="D7:R7"/>
    <mergeCell ref="C9:K9"/>
    <mergeCell ref="E14:T14"/>
    <mergeCell ref="E15:J15"/>
    <mergeCell ref="C16:C17"/>
    <mergeCell ref="E16:S16"/>
    <mergeCell ref="E17:S1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BV56"/>
  <sheetViews>
    <sheetView topLeftCell="C1" zoomScale="80" zoomScaleNormal="80" workbookViewId="0">
      <selection activeCell="J4" sqref="J4:J53"/>
    </sheetView>
  </sheetViews>
  <sheetFormatPr defaultColWidth="9.140625" defaultRowHeight="14.45"/>
  <cols>
    <col min="1" max="1" width="11.7109375" style="247" customWidth="1"/>
    <col min="2" max="2" width="16.7109375" style="247" customWidth="1"/>
    <col min="3" max="3" width="19.7109375" style="247" customWidth="1"/>
    <col min="4" max="4" width="25.28515625" style="248" bestFit="1" customWidth="1"/>
    <col min="5" max="5" width="52.85546875" style="248" bestFit="1" customWidth="1"/>
    <col min="6" max="6" width="18.140625" style="248" bestFit="1" customWidth="1"/>
    <col min="7" max="8" width="9.140625" style="249"/>
    <col min="9" max="9" width="10.5703125" style="249" customWidth="1"/>
    <col min="10" max="15" width="12.7109375" style="250" customWidth="1"/>
    <col min="16" max="16" width="17.42578125" style="251" customWidth="1"/>
    <col min="17" max="16384" width="9.140625" style="247"/>
  </cols>
  <sheetData>
    <row r="1" spans="1:74" s="110" customFormat="1" ht="18">
      <c r="A1" s="76" t="s">
        <v>15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</row>
    <row r="2" spans="1:74" s="110" customFormat="1" ht="27.6" customHeight="1" thickBot="1">
      <c r="A2" s="79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</row>
    <row r="3" spans="1:74" s="2" customFormat="1" ht="41.45">
      <c r="A3" s="30" t="s">
        <v>17</v>
      </c>
      <c r="B3" s="156" t="s">
        <v>18</v>
      </c>
      <c r="C3" s="194" t="s">
        <v>19</v>
      </c>
      <c r="D3" s="34" t="s">
        <v>20</v>
      </c>
      <c r="E3" s="29" t="s">
        <v>21</v>
      </c>
      <c r="F3" s="29" t="s">
        <v>22</v>
      </c>
      <c r="G3" s="128" t="s">
        <v>23</v>
      </c>
      <c r="H3" s="128" t="s">
        <v>24</v>
      </c>
      <c r="I3" s="129" t="s">
        <v>25</v>
      </c>
      <c r="J3" s="31" t="s">
        <v>26</v>
      </c>
      <c r="K3" s="32" t="s">
        <v>27</v>
      </c>
      <c r="L3" s="32" t="s">
        <v>28</v>
      </c>
      <c r="M3" s="32" t="s">
        <v>29</v>
      </c>
      <c r="N3" s="32" t="s">
        <v>30</v>
      </c>
      <c r="O3" s="33" t="s">
        <v>31</v>
      </c>
      <c r="P3" s="1" t="s">
        <v>32</v>
      </c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</row>
    <row r="4" spans="1:74" s="2" customFormat="1">
      <c r="A4" s="25">
        <v>1</v>
      </c>
      <c r="B4" s="157" t="s">
        <v>33</v>
      </c>
      <c r="C4" s="3" t="str">
        <f>CONCATENATE(Taula2[[#This Row],[Tipus subministrament]]," ",Taula2[[#This Row],[Num equip./subm.]])</f>
        <v>Equipament 1</v>
      </c>
      <c r="D4" s="3" t="s">
        <v>34</v>
      </c>
      <c r="E4" s="3" t="s">
        <v>35</v>
      </c>
      <c r="F4" s="3"/>
      <c r="G4" s="4" t="s">
        <v>36</v>
      </c>
      <c r="H4" s="5">
        <v>9.1999999999999993</v>
      </c>
      <c r="I4" s="26">
        <v>2.5</v>
      </c>
      <c r="J4" s="6">
        <v>1500</v>
      </c>
      <c r="K4" s="6">
        <v>250</v>
      </c>
      <c r="L4" s="6">
        <v>250</v>
      </c>
      <c r="M4" s="7"/>
      <c r="N4" s="7"/>
      <c r="O4" s="8"/>
      <c r="P4" s="11">
        <f>SUM(Taula2[[#This Row],[CONSUM P1]:[CONSUM P6]])</f>
        <v>2000</v>
      </c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</row>
    <row r="5" spans="1:74" s="2" customFormat="1" ht="14.45" customHeight="1">
      <c r="A5" s="25">
        <v>2</v>
      </c>
      <c r="B5" s="157" t="s">
        <v>33</v>
      </c>
      <c r="C5" s="3" t="str">
        <f>CONCATENATE(Taula2[[#This Row],[Tipus subministrament]]," ",Taula2[[#This Row],[Num equip./subm.]])</f>
        <v>Equipament 2</v>
      </c>
      <c r="D5" s="3" t="s">
        <v>37</v>
      </c>
      <c r="E5" s="3" t="s">
        <v>38</v>
      </c>
      <c r="F5" s="3"/>
      <c r="G5" s="4" t="s">
        <v>36</v>
      </c>
      <c r="H5" s="5">
        <v>7.9669999999999996</v>
      </c>
      <c r="I5" s="26">
        <v>0.40400000000000003</v>
      </c>
      <c r="J5" s="6">
        <v>1500</v>
      </c>
      <c r="K5" s="6">
        <v>300</v>
      </c>
      <c r="L5" s="6">
        <v>300</v>
      </c>
      <c r="M5" s="7"/>
      <c r="N5" s="7"/>
      <c r="O5" s="8"/>
      <c r="P5" s="11">
        <f>SUM(Taula2[[#This Row],[CONSUM P1]:[CONSUM P6]])</f>
        <v>2100</v>
      </c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</row>
    <row r="6" spans="1:74" s="2" customFormat="1">
      <c r="A6" s="25">
        <v>3</v>
      </c>
      <c r="B6" s="157" t="s">
        <v>33</v>
      </c>
      <c r="C6" s="3" t="str">
        <f>CONCATENATE(Taula2[[#This Row],[Tipus subministrament]]," ",Taula2[[#This Row],[Num equip./subm.]])</f>
        <v>Equipament 3</v>
      </c>
      <c r="D6" s="3" t="s">
        <v>39</v>
      </c>
      <c r="E6" s="3" t="s">
        <v>40</v>
      </c>
      <c r="F6" s="3"/>
      <c r="G6" s="4" t="s">
        <v>36</v>
      </c>
      <c r="H6" s="5">
        <v>3.3</v>
      </c>
      <c r="I6" s="26">
        <v>0.29199999999999998</v>
      </c>
      <c r="J6" s="6">
        <v>1500</v>
      </c>
      <c r="K6" s="6">
        <v>350</v>
      </c>
      <c r="L6" s="6">
        <v>350</v>
      </c>
      <c r="M6" s="7"/>
      <c r="N6" s="7"/>
      <c r="O6" s="8"/>
      <c r="P6" s="11">
        <f>SUM(Taula2[[#This Row],[CONSUM P1]:[CONSUM P6]])</f>
        <v>2200</v>
      </c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</row>
    <row r="7" spans="1:74" s="2" customFormat="1">
      <c r="A7" s="25">
        <v>4</v>
      </c>
      <c r="B7" s="157" t="s">
        <v>33</v>
      </c>
      <c r="C7" s="3" t="str">
        <f>CONCATENATE(Taula2[[#This Row],[Tipus subministrament]]," ",Taula2[[#This Row],[Num equip./subm.]])</f>
        <v>Equipament 4</v>
      </c>
      <c r="D7" s="3" t="s">
        <v>41</v>
      </c>
      <c r="E7" s="3" t="s">
        <v>42</v>
      </c>
      <c r="F7" s="3"/>
      <c r="G7" s="4" t="s">
        <v>36</v>
      </c>
      <c r="H7" s="5">
        <v>2.2000000000000002</v>
      </c>
      <c r="I7" s="26">
        <v>0.11600000000000001</v>
      </c>
      <c r="J7" s="6">
        <v>1500</v>
      </c>
      <c r="K7" s="6">
        <v>400</v>
      </c>
      <c r="L7" s="6">
        <v>400</v>
      </c>
      <c r="M7" s="7"/>
      <c r="N7" s="7"/>
      <c r="O7" s="8"/>
      <c r="P7" s="11">
        <f>SUM(Taula2[[#This Row],[CONSUM P1]:[CONSUM P6]])</f>
        <v>2300</v>
      </c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</row>
    <row r="8" spans="1:74" s="2" customFormat="1">
      <c r="A8" s="25">
        <v>5</v>
      </c>
      <c r="B8" s="157" t="s">
        <v>33</v>
      </c>
      <c r="C8" s="3" t="str">
        <f>CONCATENATE(Taula2[[#This Row],[Tipus subministrament]]," ",Taula2[[#This Row],[Num equip./subm.]])</f>
        <v>Equipament 5</v>
      </c>
      <c r="D8" s="3" t="s">
        <v>43</v>
      </c>
      <c r="E8" s="3" t="s">
        <v>44</v>
      </c>
      <c r="F8" s="3"/>
      <c r="G8" s="4" t="s">
        <v>36</v>
      </c>
      <c r="H8" s="5">
        <v>6.9279999999999999</v>
      </c>
      <c r="I8" s="26">
        <v>0.39200000000000002</v>
      </c>
      <c r="J8" s="6">
        <v>1500</v>
      </c>
      <c r="K8" s="6">
        <v>450</v>
      </c>
      <c r="L8" s="6">
        <v>450</v>
      </c>
      <c r="M8" s="7"/>
      <c r="N8" s="7"/>
      <c r="O8" s="8"/>
      <c r="P8" s="11">
        <f>SUM(Taula2[[#This Row],[CONSUM P1]:[CONSUM P6]])</f>
        <v>2400</v>
      </c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</row>
    <row r="9" spans="1:74" s="12" customFormat="1">
      <c r="A9" s="25">
        <v>6</v>
      </c>
      <c r="B9" s="157" t="s">
        <v>33</v>
      </c>
      <c r="C9" s="3" t="str">
        <f>CONCATENATE(Taula2[[#This Row],[Tipus subministrament]]," ",Taula2[[#This Row],[Num equip./subm.]])</f>
        <v>Equipament 6</v>
      </c>
      <c r="D9" s="3" t="s">
        <v>45</v>
      </c>
      <c r="E9" s="3" t="s">
        <v>46</v>
      </c>
      <c r="F9" s="3"/>
      <c r="G9" s="4" t="s">
        <v>36</v>
      </c>
      <c r="H9" s="5">
        <v>2.2999999999999998</v>
      </c>
      <c r="I9" s="26">
        <v>0.33600000000000002</v>
      </c>
      <c r="J9" s="6">
        <v>1500</v>
      </c>
      <c r="K9" s="6">
        <v>500</v>
      </c>
      <c r="L9" s="6">
        <v>500</v>
      </c>
      <c r="M9" s="7"/>
      <c r="N9" s="7"/>
      <c r="O9" s="8"/>
      <c r="P9" s="11">
        <f>SUM(Taula2[[#This Row],[CONSUM P1]:[CONSUM P6]])</f>
        <v>2500</v>
      </c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</row>
    <row r="10" spans="1:74" s="12" customFormat="1">
      <c r="A10" s="25">
        <v>7</v>
      </c>
      <c r="B10" s="157" t="s">
        <v>33</v>
      </c>
      <c r="C10" s="3" t="str">
        <f>CONCATENATE(Taula2[[#This Row],[Tipus subministrament]]," ",Taula2[[#This Row],[Num equip./subm.]])</f>
        <v>Equipament 7</v>
      </c>
      <c r="D10" s="13" t="s">
        <v>47</v>
      </c>
      <c r="E10" s="13" t="s">
        <v>48</v>
      </c>
      <c r="F10" s="13"/>
      <c r="G10" s="14" t="s">
        <v>49</v>
      </c>
      <c r="H10" s="15">
        <v>21</v>
      </c>
      <c r="I10" s="27">
        <v>21.882000000000001</v>
      </c>
      <c r="J10" s="6">
        <v>1500</v>
      </c>
      <c r="K10" s="6">
        <v>550</v>
      </c>
      <c r="L10" s="6">
        <v>550</v>
      </c>
      <c r="M10" s="16"/>
      <c r="N10" s="16"/>
      <c r="O10" s="17"/>
      <c r="P10" s="11">
        <f>SUM(Taula2[[#This Row],[CONSUM P1]:[CONSUM P6]])</f>
        <v>2600</v>
      </c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</row>
    <row r="11" spans="1:74" s="2" customFormat="1">
      <c r="A11" s="25">
        <v>8</v>
      </c>
      <c r="B11" s="157" t="s">
        <v>33</v>
      </c>
      <c r="C11" s="3" t="str">
        <f>CONCATENATE(Taula2[[#This Row],[Tipus subministrament]]," ",Taula2[[#This Row],[Num equip./subm.]])</f>
        <v>Equipament 8</v>
      </c>
      <c r="D11" s="3" t="s">
        <v>50</v>
      </c>
      <c r="E11" s="3" t="s">
        <v>51</v>
      </c>
      <c r="F11" s="3"/>
      <c r="G11" s="4" t="s">
        <v>36</v>
      </c>
      <c r="H11" s="5">
        <v>3.464</v>
      </c>
      <c r="I11" s="26">
        <v>1.18</v>
      </c>
      <c r="J11" s="6">
        <v>1500</v>
      </c>
      <c r="K11" s="6">
        <v>600</v>
      </c>
      <c r="L11" s="6">
        <v>600</v>
      </c>
      <c r="M11" s="7"/>
      <c r="N11" s="7"/>
      <c r="O11" s="8"/>
      <c r="P11" s="11">
        <f>SUM(Taula2[[#This Row],[CONSUM P1]:[CONSUM P6]])</f>
        <v>2700</v>
      </c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</row>
    <row r="12" spans="1:74" s="2" customFormat="1">
      <c r="A12" s="25">
        <v>9</v>
      </c>
      <c r="B12" s="157" t="s">
        <v>33</v>
      </c>
      <c r="C12" s="3" t="str">
        <f>CONCATENATE(Taula2[[#This Row],[Tipus subministrament]]," ",Taula2[[#This Row],[Num equip./subm.]])</f>
        <v>Equipament 9</v>
      </c>
      <c r="D12" s="13" t="s">
        <v>52</v>
      </c>
      <c r="E12" s="13" t="s">
        <v>53</v>
      </c>
      <c r="F12" s="13"/>
      <c r="G12" s="14" t="s">
        <v>36</v>
      </c>
      <c r="H12" s="15">
        <v>6.9</v>
      </c>
      <c r="I12" s="27">
        <v>1.772</v>
      </c>
      <c r="J12" s="6">
        <v>1500</v>
      </c>
      <c r="K12" s="6">
        <v>650</v>
      </c>
      <c r="L12" s="6">
        <v>650</v>
      </c>
      <c r="M12" s="16"/>
      <c r="N12" s="16"/>
      <c r="O12" s="17"/>
      <c r="P12" s="11">
        <f>SUM(Taula2[[#This Row],[CONSUM P1]:[CONSUM P6]])</f>
        <v>2800</v>
      </c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</row>
    <row r="13" spans="1:74" s="2" customFormat="1">
      <c r="A13" s="25">
        <v>10</v>
      </c>
      <c r="B13" s="157" t="s">
        <v>33</v>
      </c>
      <c r="C13" s="3" t="str">
        <f>CONCATENATE(Taula2[[#This Row],[Tipus subministrament]]," ",Taula2[[#This Row],[Num equip./subm.]])</f>
        <v>Equipament 10</v>
      </c>
      <c r="D13" s="3" t="s">
        <v>54</v>
      </c>
      <c r="E13" s="3" t="s">
        <v>55</v>
      </c>
      <c r="F13" s="3"/>
      <c r="G13" s="4" t="s">
        <v>36</v>
      </c>
      <c r="H13" s="5">
        <v>13.856</v>
      </c>
      <c r="I13" s="26">
        <v>0.69599999999999995</v>
      </c>
      <c r="J13" s="6">
        <v>1500</v>
      </c>
      <c r="K13" s="6">
        <v>700</v>
      </c>
      <c r="L13" s="6">
        <v>700</v>
      </c>
      <c r="M13" s="7"/>
      <c r="N13" s="7"/>
      <c r="O13" s="8"/>
      <c r="P13" s="11">
        <f>SUM(Taula2[[#This Row],[CONSUM P1]:[CONSUM P6]])</f>
        <v>2900</v>
      </c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</row>
    <row r="14" spans="1:74" s="2" customFormat="1">
      <c r="A14" s="25">
        <v>11</v>
      </c>
      <c r="B14" s="157" t="s">
        <v>33</v>
      </c>
      <c r="C14" s="3" t="str">
        <f>CONCATENATE(Taula2[[#This Row],[Tipus subministrament]]," ",Taula2[[#This Row],[Num equip./subm.]])</f>
        <v>Equipament 11</v>
      </c>
      <c r="D14" s="3" t="s">
        <v>56</v>
      </c>
      <c r="E14" s="3" t="s">
        <v>57</v>
      </c>
      <c r="F14" s="3"/>
      <c r="G14" s="4" t="s">
        <v>36</v>
      </c>
      <c r="H14" s="5">
        <v>2.2999999999999998</v>
      </c>
      <c r="I14" s="26">
        <v>1.196</v>
      </c>
      <c r="J14" s="6">
        <v>1500</v>
      </c>
      <c r="K14" s="6">
        <v>750</v>
      </c>
      <c r="L14" s="6">
        <v>750</v>
      </c>
      <c r="M14" s="7"/>
      <c r="N14" s="7"/>
      <c r="O14" s="8"/>
      <c r="P14" s="11">
        <f>SUM(Taula2[[#This Row],[CONSUM P1]:[CONSUM P6]])</f>
        <v>3000</v>
      </c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</row>
    <row r="15" spans="1:74" s="2" customFormat="1">
      <c r="A15" s="25">
        <v>12</v>
      </c>
      <c r="B15" s="157" t="s">
        <v>33</v>
      </c>
      <c r="C15" s="3" t="str">
        <f>CONCATENATE(Taula2[[#This Row],[Tipus subministrament]]," ",Taula2[[#This Row],[Num equip./subm.]])</f>
        <v>Equipament 12</v>
      </c>
      <c r="D15" s="3" t="s">
        <v>58</v>
      </c>
      <c r="E15" s="3" t="s">
        <v>59</v>
      </c>
      <c r="F15" s="3"/>
      <c r="G15" s="4" t="s">
        <v>36</v>
      </c>
      <c r="H15" s="5">
        <v>5</v>
      </c>
      <c r="I15" s="26">
        <v>2.028</v>
      </c>
      <c r="J15" s="6">
        <v>1500</v>
      </c>
      <c r="K15" s="6">
        <v>800</v>
      </c>
      <c r="L15" s="6">
        <v>800</v>
      </c>
      <c r="M15" s="7"/>
      <c r="N15" s="7"/>
      <c r="O15" s="8"/>
      <c r="P15" s="11">
        <f>SUM(Taula2[[#This Row],[CONSUM P1]:[CONSUM P6]])</f>
        <v>3100</v>
      </c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</row>
    <row r="16" spans="1:74" s="2" customFormat="1">
      <c r="A16" s="25">
        <v>13</v>
      </c>
      <c r="B16" s="157" t="s">
        <v>33</v>
      </c>
      <c r="C16" s="3" t="str">
        <f>CONCATENATE(Taula2[[#This Row],[Tipus subministrament]]," ",Taula2[[#This Row],[Num equip./subm.]])</f>
        <v>Equipament 13</v>
      </c>
      <c r="D16" s="3" t="s">
        <v>60</v>
      </c>
      <c r="E16" s="3" t="s">
        <v>61</v>
      </c>
      <c r="F16" s="3"/>
      <c r="G16" s="4" t="s">
        <v>49</v>
      </c>
      <c r="H16" s="5">
        <v>17.321000000000002</v>
      </c>
      <c r="I16" s="26">
        <v>5</v>
      </c>
      <c r="J16" s="6">
        <v>1500</v>
      </c>
      <c r="K16" s="6">
        <v>850</v>
      </c>
      <c r="L16" s="6">
        <v>850</v>
      </c>
      <c r="M16" s="7"/>
      <c r="N16" s="7"/>
      <c r="O16" s="8"/>
      <c r="P16" s="11">
        <f>SUM(Taula2[[#This Row],[CONSUM P1]:[CONSUM P6]])</f>
        <v>3200</v>
      </c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</row>
    <row r="17" spans="1:74" s="2" customFormat="1">
      <c r="A17" s="25">
        <v>14</v>
      </c>
      <c r="B17" s="157" t="s">
        <v>33</v>
      </c>
      <c r="C17" s="3" t="str">
        <f>CONCATENATE(Taula2[[#This Row],[Tipus subministrament]]," ",Taula2[[#This Row],[Num equip./subm.]])</f>
        <v>Equipament 14</v>
      </c>
      <c r="D17" s="13" t="s">
        <v>62</v>
      </c>
      <c r="E17" s="13" t="s">
        <v>63</v>
      </c>
      <c r="F17" s="13"/>
      <c r="G17" s="14" t="s">
        <v>36</v>
      </c>
      <c r="H17" s="15">
        <v>10</v>
      </c>
      <c r="I17" s="27">
        <v>12.708</v>
      </c>
      <c r="J17" s="6">
        <v>1500</v>
      </c>
      <c r="K17" s="6">
        <v>900</v>
      </c>
      <c r="L17" s="6">
        <v>900</v>
      </c>
      <c r="M17" s="16"/>
      <c r="N17" s="16"/>
      <c r="O17" s="17"/>
      <c r="P17" s="11">
        <f>SUM(Taula2[[#This Row],[CONSUM P1]:[CONSUM P6]])</f>
        <v>3300</v>
      </c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</row>
    <row r="18" spans="1:74" s="2" customFormat="1">
      <c r="A18" s="25">
        <v>15</v>
      </c>
      <c r="B18" s="157" t="s">
        <v>33</v>
      </c>
      <c r="C18" s="3" t="str">
        <f>CONCATENATE(Taula2[[#This Row],[Tipus subministrament]]," ",Taula2[[#This Row],[Num equip./subm.]])</f>
        <v>Equipament 15</v>
      </c>
      <c r="D18" s="3" t="s">
        <v>64</v>
      </c>
      <c r="E18" s="3" t="s">
        <v>65</v>
      </c>
      <c r="F18" s="3"/>
      <c r="G18" s="4" t="s">
        <v>36</v>
      </c>
      <c r="H18" s="5">
        <v>10.391999999999999</v>
      </c>
      <c r="I18" s="26">
        <v>2.3239999999999998</v>
      </c>
      <c r="J18" s="6">
        <v>1500</v>
      </c>
      <c r="K18" s="6">
        <v>950</v>
      </c>
      <c r="L18" s="6">
        <v>950</v>
      </c>
      <c r="M18" s="7"/>
      <c r="N18" s="7"/>
      <c r="O18" s="8"/>
      <c r="P18" s="11">
        <f>SUM(Taula2[[#This Row],[CONSUM P1]:[CONSUM P6]])</f>
        <v>3400</v>
      </c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</row>
    <row r="19" spans="1:74" s="2" customFormat="1">
      <c r="A19" s="25">
        <v>16</v>
      </c>
      <c r="B19" s="157" t="s">
        <v>66</v>
      </c>
      <c r="C19" s="3" t="str">
        <f>CONCATENATE(Taula2[[#This Row],[Tipus subministrament]]," ",Taula2[[#This Row],[Num equip./subm.]])</f>
        <v>Quadre EP 16</v>
      </c>
      <c r="D19" s="3" t="s">
        <v>67</v>
      </c>
      <c r="E19" s="3" t="s">
        <v>68</v>
      </c>
      <c r="F19" s="3"/>
      <c r="G19" s="4" t="s">
        <v>36</v>
      </c>
      <c r="H19" s="5">
        <v>10.391999999999999</v>
      </c>
      <c r="I19" s="26">
        <v>2.54</v>
      </c>
      <c r="J19" s="6">
        <v>1500</v>
      </c>
      <c r="K19" s="6">
        <v>100</v>
      </c>
      <c r="L19" s="6">
        <v>100</v>
      </c>
      <c r="M19" s="7"/>
      <c r="N19" s="7"/>
      <c r="O19" s="8"/>
      <c r="P19" s="11">
        <f>SUM(Taula2[[#This Row],[CONSUM P1]:[CONSUM P6]])</f>
        <v>1700</v>
      </c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</row>
    <row r="20" spans="1:74" s="2" customFormat="1">
      <c r="A20" s="25">
        <v>17</v>
      </c>
      <c r="B20" s="157" t="s">
        <v>66</v>
      </c>
      <c r="C20" s="3" t="str">
        <f>CONCATENATE(Taula2[[#This Row],[Tipus subministrament]]," ",Taula2[[#This Row],[Num equip./subm.]])</f>
        <v>Quadre EP 17</v>
      </c>
      <c r="D20" s="3" t="s">
        <v>69</v>
      </c>
      <c r="E20" s="3" t="s">
        <v>70</v>
      </c>
      <c r="F20" s="3"/>
      <c r="G20" s="4" t="s">
        <v>36</v>
      </c>
      <c r="H20" s="5">
        <v>13.856</v>
      </c>
      <c r="I20" s="26">
        <v>3.54</v>
      </c>
      <c r="J20" s="6">
        <v>1500</v>
      </c>
      <c r="K20" s="6">
        <v>110</v>
      </c>
      <c r="L20" s="6">
        <v>110</v>
      </c>
      <c r="M20" s="7"/>
      <c r="N20" s="7"/>
      <c r="O20" s="8"/>
      <c r="P20" s="11">
        <f>SUM(Taula2[[#This Row],[CONSUM P1]:[CONSUM P6]])</f>
        <v>1720</v>
      </c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</row>
    <row r="21" spans="1:74" s="2" customFormat="1">
      <c r="A21" s="25">
        <v>18</v>
      </c>
      <c r="B21" s="157" t="s">
        <v>66</v>
      </c>
      <c r="C21" s="3" t="str">
        <f>CONCATENATE(Taula2[[#This Row],[Tipus subministrament]]," ",Taula2[[#This Row],[Num equip./subm.]])</f>
        <v>Quadre EP 18</v>
      </c>
      <c r="D21" s="3" t="s">
        <v>71</v>
      </c>
      <c r="E21" s="3" t="s">
        <v>72</v>
      </c>
      <c r="F21" s="3"/>
      <c r="G21" s="4" t="s">
        <v>49</v>
      </c>
      <c r="H21" s="5">
        <v>20.785</v>
      </c>
      <c r="I21" s="26">
        <v>5.032</v>
      </c>
      <c r="J21" s="6">
        <v>1500</v>
      </c>
      <c r="K21" s="6">
        <v>120</v>
      </c>
      <c r="L21" s="6">
        <v>120</v>
      </c>
      <c r="M21" s="7"/>
      <c r="N21" s="7"/>
      <c r="O21" s="8"/>
      <c r="P21" s="11">
        <f>SUM(Taula2[[#This Row],[CONSUM P1]:[CONSUM P6]])</f>
        <v>1740</v>
      </c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</row>
    <row r="22" spans="1:74" s="2" customFormat="1">
      <c r="A22" s="25">
        <v>19</v>
      </c>
      <c r="B22" s="157" t="s">
        <v>66</v>
      </c>
      <c r="C22" s="3" t="str">
        <f>CONCATENATE(Taula2[[#This Row],[Tipus subministrament]]," ",Taula2[[#This Row],[Num equip./subm.]])</f>
        <v>Quadre EP 19</v>
      </c>
      <c r="D22" s="13" t="s">
        <v>73</v>
      </c>
      <c r="E22" s="13" t="s">
        <v>74</v>
      </c>
      <c r="F22" s="13"/>
      <c r="G22" s="14" t="s">
        <v>49</v>
      </c>
      <c r="H22" s="15">
        <v>31.5</v>
      </c>
      <c r="I22" s="27">
        <v>7</v>
      </c>
      <c r="J22" s="6">
        <v>1500</v>
      </c>
      <c r="K22" s="6">
        <v>130</v>
      </c>
      <c r="L22" s="6">
        <v>130</v>
      </c>
      <c r="M22" s="16"/>
      <c r="N22" s="16"/>
      <c r="O22" s="17"/>
      <c r="P22" s="11">
        <f>SUM(Taula2[[#This Row],[CONSUM P1]:[CONSUM P6]])</f>
        <v>1760</v>
      </c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</row>
    <row r="23" spans="1:74" s="2" customFormat="1">
      <c r="A23" s="25">
        <v>20</v>
      </c>
      <c r="B23" s="157" t="s">
        <v>66</v>
      </c>
      <c r="C23" s="3" t="str">
        <f>CONCATENATE(Taula2[[#This Row],[Tipus subministrament]]," ",Taula2[[#This Row],[Num equip./subm.]])</f>
        <v>Quadre EP 20</v>
      </c>
      <c r="D23" s="13" t="s">
        <v>75</v>
      </c>
      <c r="E23" s="13" t="s">
        <v>76</v>
      </c>
      <c r="F23" s="13"/>
      <c r="G23" s="14" t="s">
        <v>49</v>
      </c>
      <c r="H23" s="15">
        <v>27.713000000000001</v>
      </c>
      <c r="I23" s="27">
        <v>25.849</v>
      </c>
      <c r="J23" s="6">
        <v>1500</v>
      </c>
      <c r="K23" s="6">
        <v>140</v>
      </c>
      <c r="L23" s="6">
        <v>140</v>
      </c>
      <c r="M23" s="16"/>
      <c r="N23" s="16"/>
      <c r="O23" s="17"/>
      <c r="P23" s="11">
        <f>SUM(Taula2[[#This Row],[CONSUM P1]:[CONSUM P6]])</f>
        <v>1780</v>
      </c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</row>
    <row r="24" spans="1:74" s="2" customFormat="1">
      <c r="A24" s="25">
        <v>21</v>
      </c>
      <c r="B24" s="157" t="s">
        <v>66</v>
      </c>
      <c r="C24" s="3" t="str">
        <f>CONCATENATE(Taula2[[#This Row],[Tipus subministrament]]," ",Taula2[[#This Row],[Num equip./subm.]])</f>
        <v>Quadre EP 21</v>
      </c>
      <c r="D24" s="13" t="s">
        <v>77</v>
      </c>
      <c r="E24" s="13" t="s">
        <v>78</v>
      </c>
      <c r="F24" s="13"/>
      <c r="G24" s="14" t="s">
        <v>36</v>
      </c>
      <c r="H24" s="15">
        <v>15</v>
      </c>
      <c r="I24" s="27">
        <v>12.1</v>
      </c>
      <c r="J24" s="6">
        <v>1500</v>
      </c>
      <c r="K24" s="6">
        <v>150</v>
      </c>
      <c r="L24" s="6">
        <v>150</v>
      </c>
      <c r="M24" s="16"/>
      <c r="N24" s="16"/>
      <c r="O24" s="17"/>
      <c r="P24" s="11">
        <f>SUM(Taula2[[#This Row],[CONSUM P1]:[CONSUM P6]])</f>
        <v>1800</v>
      </c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</row>
    <row r="25" spans="1:74" s="12" customFormat="1">
      <c r="A25" s="25">
        <v>22</v>
      </c>
      <c r="B25" s="157" t="s">
        <v>66</v>
      </c>
      <c r="C25" s="3" t="str">
        <f>CONCATENATE(Taula2[[#This Row],[Tipus subministrament]]," ",Taula2[[#This Row],[Num equip./subm.]])</f>
        <v>Quadre EP 22</v>
      </c>
      <c r="D25" s="3" t="s">
        <v>79</v>
      </c>
      <c r="E25" s="3" t="s">
        <v>80</v>
      </c>
      <c r="F25" s="3"/>
      <c r="G25" s="4" t="s">
        <v>36</v>
      </c>
      <c r="H25" s="5">
        <v>10.391999999999999</v>
      </c>
      <c r="I25" s="26">
        <v>3.7320000000000002</v>
      </c>
      <c r="J25" s="6">
        <v>1500</v>
      </c>
      <c r="K25" s="6">
        <v>160</v>
      </c>
      <c r="L25" s="6">
        <v>160</v>
      </c>
      <c r="M25" s="7"/>
      <c r="N25" s="7"/>
      <c r="O25" s="8"/>
      <c r="P25" s="11">
        <f>SUM(Taula2[[#This Row],[CONSUM P1]:[CONSUM P6]])</f>
        <v>1820</v>
      </c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</row>
    <row r="26" spans="1:74" s="12" customFormat="1" ht="15" customHeight="1">
      <c r="A26" s="25">
        <v>23</v>
      </c>
      <c r="B26" s="157" t="s">
        <v>66</v>
      </c>
      <c r="C26" s="3" t="str">
        <f>CONCATENATE(Taula2[[#This Row],[Tipus subministrament]]," ",Taula2[[#This Row],[Num equip./subm.]])</f>
        <v>Quadre EP 23</v>
      </c>
      <c r="D26" s="3" t="s">
        <v>81</v>
      </c>
      <c r="E26" s="3" t="s">
        <v>82</v>
      </c>
      <c r="F26" s="3"/>
      <c r="G26" s="4" t="s">
        <v>36</v>
      </c>
      <c r="H26" s="5">
        <v>3.464</v>
      </c>
      <c r="I26" s="26">
        <v>2.5880000000000001</v>
      </c>
      <c r="J26" s="6">
        <v>1500</v>
      </c>
      <c r="K26" s="6">
        <v>170</v>
      </c>
      <c r="L26" s="6">
        <v>170</v>
      </c>
      <c r="M26" s="7"/>
      <c r="N26" s="7"/>
      <c r="O26" s="8"/>
      <c r="P26" s="11">
        <f>SUM(Taula2[[#This Row],[CONSUM P1]:[CONSUM P6]])</f>
        <v>1840</v>
      </c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</row>
    <row r="27" spans="1:74" s="2" customFormat="1">
      <c r="A27" s="25">
        <v>24</v>
      </c>
      <c r="B27" s="157" t="s">
        <v>66</v>
      </c>
      <c r="C27" s="3" t="str">
        <f>CONCATENATE(Taula2[[#This Row],[Tipus subministrament]]," ",Taula2[[#This Row],[Num equip./subm.]])</f>
        <v>Quadre EP 24</v>
      </c>
      <c r="D27" s="3" t="s">
        <v>83</v>
      </c>
      <c r="E27" s="3" t="s">
        <v>84</v>
      </c>
      <c r="F27" s="3"/>
      <c r="G27" s="4" t="s">
        <v>36</v>
      </c>
      <c r="H27" s="5">
        <v>10.391999999999999</v>
      </c>
      <c r="I27" s="26">
        <v>5.5039999999999996</v>
      </c>
      <c r="J27" s="6">
        <v>1500</v>
      </c>
      <c r="K27" s="6">
        <v>180</v>
      </c>
      <c r="L27" s="6">
        <v>180</v>
      </c>
      <c r="M27" s="7"/>
      <c r="N27" s="7"/>
      <c r="O27" s="8"/>
      <c r="P27" s="11">
        <f>SUM(Taula2[[#This Row],[CONSUM P1]:[CONSUM P6]])</f>
        <v>1860</v>
      </c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</row>
    <row r="28" spans="1:74" s="12" customFormat="1">
      <c r="A28" s="25">
        <v>25</v>
      </c>
      <c r="B28" s="157" t="s">
        <v>66</v>
      </c>
      <c r="C28" s="3" t="str">
        <f>CONCATENATE(Taula2[[#This Row],[Tipus subministrament]]," ",Taula2[[#This Row],[Num equip./subm.]])</f>
        <v>Quadre EP 25</v>
      </c>
      <c r="D28" s="13" t="s">
        <v>85</v>
      </c>
      <c r="E28" s="13" t="s">
        <v>86</v>
      </c>
      <c r="F28" s="13"/>
      <c r="G28" s="14" t="s">
        <v>49</v>
      </c>
      <c r="H28" s="15">
        <v>16</v>
      </c>
      <c r="I28" s="27">
        <v>9</v>
      </c>
      <c r="J28" s="6">
        <v>1500</v>
      </c>
      <c r="K28" s="6">
        <v>190</v>
      </c>
      <c r="L28" s="6">
        <v>190</v>
      </c>
      <c r="M28" s="16"/>
      <c r="N28" s="16"/>
      <c r="O28" s="17"/>
      <c r="P28" s="11">
        <f>SUM(Taula2[[#This Row],[CONSUM P1]:[CONSUM P6]])</f>
        <v>1880</v>
      </c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</row>
    <row r="29" spans="1:74" s="2" customFormat="1">
      <c r="A29" s="25">
        <v>26</v>
      </c>
      <c r="B29" s="157" t="s">
        <v>66</v>
      </c>
      <c r="C29" s="3" t="str">
        <f>CONCATENATE(Taula2[[#This Row],[Tipus subministrament]]," ",Taula2[[#This Row],[Num equip./subm.]])</f>
        <v>Quadre EP 26</v>
      </c>
      <c r="D29" s="3" t="s">
        <v>87</v>
      </c>
      <c r="E29" s="3" t="s">
        <v>88</v>
      </c>
      <c r="F29" s="3"/>
      <c r="G29" s="4" t="s">
        <v>36</v>
      </c>
      <c r="H29" s="5">
        <v>6.9279999999999999</v>
      </c>
      <c r="I29" s="26">
        <v>4.3159999999999998</v>
      </c>
      <c r="J29" s="6">
        <v>1500</v>
      </c>
      <c r="K29" s="6">
        <v>200</v>
      </c>
      <c r="L29" s="6">
        <v>200</v>
      </c>
      <c r="M29" s="7"/>
      <c r="N29" s="7"/>
      <c r="O29" s="8"/>
      <c r="P29" s="11">
        <f>SUM(Taula2[[#This Row],[CONSUM P1]:[CONSUM P6]])</f>
        <v>1900</v>
      </c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</row>
    <row r="30" spans="1:74" s="2" customFormat="1">
      <c r="A30" s="25">
        <v>27</v>
      </c>
      <c r="B30" s="157" t="s">
        <v>66</v>
      </c>
      <c r="C30" s="3" t="str">
        <f>CONCATENATE(Taula2[[#This Row],[Tipus subministrament]]," ",Taula2[[#This Row],[Num equip./subm.]])</f>
        <v>Quadre EP 27</v>
      </c>
      <c r="D30" s="3" t="s">
        <v>89</v>
      </c>
      <c r="E30" s="3" t="s">
        <v>90</v>
      </c>
      <c r="F30" s="3"/>
      <c r="G30" s="4" t="s">
        <v>49</v>
      </c>
      <c r="H30" s="5">
        <v>20.785</v>
      </c>
      <c r="I30" s="26">
        <v>5</v>
      </c>
      <c r="J30" s="6">
        <v>1500</v>
      </c>
      <c r="K30" s="6">
        <v>210</v>
      </c>
      <c r="L30" s="6">
        <v>210</v>
      </c>
      <c r="M30" s="7"/>
      <c r="N30" s="7"/>
      <c r="O30" s="8"/>
      <c r="P30" s="11">
        <f>SUM(Taula2[[#This Row],[CONSUM P1]:[CONSUM P6]])</f>
        <v>1920</v>
      </c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</row>
    <row r="31" spans="1:74" s="12" customFormat="1">
      <c r="A31" s="25">
        <v>28</v>
      </c>
      <c r="B31" s="157" t="s">
        <v>66</v>
      </c>
      <c r="C31" s="3" t="str">
        <f>CONCATENATE(Taula2[[#This Row],[Tipus subministrament]]," ",Taula2[[#This Row],[Num equip./subm.]])</f>
        <v>Quadre EP 28</v>
      </c>
      <c r="D31" s="13" t="s">
        <v>91</v>
      </c>
      <c r="E31" s="13" t="s">
        <v>92</v>
      </c>
      <c r="F31" s="13"/>
      <c r="G31" s="14" t="s">
        <v>49</v>
      </c>
      <c r="H31" s="15">
        <v>27.713000000000001</v>
      </c>
      <c r="I31" s="27">
        <v>30</v>
      </c>
      <c r="J31" s="6">
        <v>1500</v>
      </c>
      <c r="K31" s="6">
        <v>220</v>
      </c>
      <c r="L31" s="6">
        <v>220</v>
      </c>
      <c r="M31" s="16"/>
      <c r="N31" s="16"/>
      <c r="O31" s="17"/>
      <c r="P31" s="11">
        <f>SUM(Taula2[[#This Row],[CONSUM P1]:[CONSUM P6]])</f>
        <v>1940</v>
      </c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</row>
    <row r="32" spans="1:74" s="2" customFormat="1">
      <c r="A32" s="25">
        <v>29</v>
      </c>
      <c r="B32" s="157" t="s">
        <v>66</v>
      </c>
      <c r="C32" s="3" t="str">
        <f>CONCATENATE(Taula2[[#This Row],[Tipus subministrament]]," ",Taula2[[#This Row],[Num equip./subm.]])</f>
        <v>Quadre EP 29</v>
      </c>
      <c r="D32" s="13" t="s">
        <v>93</v>
      </c>
      <c r="E32" s="13" t="s">
        <v>94</v>
      </c>
      <c r="F32" s="13"/>
      <c r="G32" s="14" t="s">
        <v>36</v>
      </c>
      <c r="H32" s="15">
        <v>15</v>
      </c>
      <c r="I32" s="27">
        <v>23.952000000000002</v>
      </c>
      <c r="J32" s="6">
        <v>1500</v>
      </c>
      <c r="K32" s="6">
        <v>230</v>
      </c>
      <c r="L32" s="6">
        <v>230</v>
      </c>
      <c r="M32" s="16"/>
      <c r="N32" s="16"/>
      <c r="O32" s="17"/>
      <c r="P32" s="11">
        <f>SUM(Taula2[[#This Row],[CONSUM P1]:[CONSUM P6]])</f>
        <v>1960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</row>
    <row r="33" spans="1:74" s="12" customFormat="1">
      <c r="A33" s="25">
        <v>30</v>
      </c>
      <c r="B33" s="157" t="s">
        <v>66</v>
      </c>
      <c r="C33" s="3" t="str">
        <f>CONCATENATE(Taula2[[#This Row],[Tipus subministrament]]," ",Taula2[[#This Row],[Num equip./subm.]])</f>
        <v>Quadre EP 30</v>
      </c>
      <c r="D33" s="13" t="s">
        <v>95</v>
      </c>
      <c r="E33" s="13" t="s">
        <v>96</v>
      </c>
      <c r="F33" s="13"/>
      <c r="G33" s="14" t="s">
        <v>49</v>
      </c>
      <c r="H33" s="15">
        <v>17.321000000000002</v>
      </c>
      <c r="I33" s="27">
        <v>18.937999999999999</v>
      </c>
      <c r="J33" s="6">
        <v>1500</v>
      </c>
      <c r="K33" s="6">
        <v>240</v>
      </c>
      <c r="L33" s="6">
        <v>240</v>
      </c>
      <c r="M33" s="16"/>
      <c r="N33" s="16"/>
      <c r="O33" s="17"/>
      <c r="P33" s="11">
        <f>SUM(Taula2[[#This Row],[CONSUM P1]:[CONSUM P6]])</f>
        <v>1980</v>
      </c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</row>
    <row r="34" spans="1:74" s="12" customFormat="1" ht="15" customHeight="1">
      <c r="A34" s="25">
        <v>31</v>
      </c>
      <c r="B34" s="157" t="s">
        <v>66</v>
      </c>
      <c r="C34" s="3" t="str">
        <f>CONCATENATE(Taula2[[#This Row],[Tipus subministrament]]," ",Taula2[[#This Row],[Num equip./subm.]])</f>
        <v>Quadre EP 31</v>
      </c>
      <c r="D34" s="13" t="s">
        <v>97</v>
      </c>
      <c r="E34" s="13" t="s">
        <v>98</v>
      </c>
      <c r="F34" s="13"/>
      <c r="G34" s="14" t="s">
        <v>49</v>
      </c>
      <c r="H34" s="15">
        <v>87</v>
      </c>
      <c r="I34" s="27">
        <v>0</v>
      </c>
      <c r="J34" s="6">
        <v>1500</v>
      </c>
      <c r="K34" s="6">
        <v>250</v>
      </c>
      <c r="L34" s="6">
        <v>250</v>
      </c>
      <c r="M34" s="16"/>
      <c r="N34" s="16"/>
      <c r="O34" s="17"/>
      <c r="P34" s="11">
        <f>SUM(Taula2[[#This Row],[CONSUM P1]:[CONSUM P6]])</f>
        <v>2000</v>
      </c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</row>
    <row r="35" spans="1:74" s="2" customFormat="1" ht="15" customHeight="1">
      <c r="A35" s="25">
        <v>32</v>
      </c>
      <c r="B35" s="157" t="s">
        <v>66</v>
      </c>
      <c r="C35" s="3" t="str">
        <f>CONCATENATE(Taula2[[#This Row],[Tipus subministrament]]," ",Taula2[[#This Row],[Num equip./subm.]])</f>
        <v>Quadre EP 32</v>
      </c>
      <c r="D35" s="3" t="s">
        <v>99</v>
      </c>
      <c r="E35" s="3" t="s">
        <v>100</v>
      </c>
      <c r="F35" s="3"/>
      <c r="G35" s="4" t="s">
        <v>36</v>
      </c>
      <c r="H35" s="5">
        <v>3.45</v>
      </c>
      <c r="I35" s="26">
        <v>5.3479999999999999</v>
      </c>
      <c r="J35" s="6">
        <v>1500</v>
      </c>
      <c r="K35" s="6">
        <v>260</v>
      </c>
      <c r="L35" s="6">
        <v>260</v>
      </c>
      <c r="M35" s="7"/>
      <c r="N35" s="7"/>
      <c r="O35" s="8"/>
      <c r="P35" s="11">
        <f>SUM(Taula2[[#This Row],[CONSUM P1]:[CONSUM P6]])</f>
        <v>2020</v>
      </c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</row>
    <row r="36" spans="1:74" s="12" customFormat="1">
      <c r="A36" s="25">
        <v>33</v>
      </c>
      <c r="B36" s="157" t="s">
        <v>66</v>
      </c>
      <c r="C36" s="3" t="str">
        <f>CONCATENATE(Taula2[[#This Row],[Tipus subministrament]]," ",Taula2[[#This Row],[Num equip./subm.]])</f>
        <v>Quadre EP 33</v>
      </c>
      <c r="D36" s="3" t="s">
        <v>101</v>
      </c>
      <c r="E36" s="3" t="s">
        <v>102</v>
      </c>
      <c r="F36" s="3"/>
      <c r="G36" s="4" t="s">
        <v>36</v>
      </c>
      <c r="H36" s="5">
        <v>13.856</v>
      </c>
      <c r="I36" s="26">
        <v>7.87</v>
      </c>
      <c r="J36" s="6">
        <v>1500</v>
      </c>
      <c r="K36" s="6">
        <v>270</v>
      </c>
      <c r="L36" s="6">
        <v>270</v>
      </c>
      <c r="M36" s="7"/>
      <c r="N36" s="7"/>
      <c r="O36" s="8"/>
      <c r="P36" s="11">
        <f>SUM(Taula2[[#This Row],[CONSUM P1]:[CONSUM P6]])</f>
        <v>2040</v>
      </c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</row>
    <row r="37" spans="1:74" s="2" customFormat="1">
      <c r="A37" s="25">
        <v>34</v>
      </c>
      <c r="B37" s="157" t="s">
        <v>66</v>
      </c>
      <c r="C37" s="3" t="str">
        <f>CONCATENATE(Taula2[[#This Row],[Tipus subministrament]]," ",Taula2[[#This Row],[Num equip./subm.]])</f>
        <v>Quadre EP 34</v>
      </c>
      <c r="D37" s="3" t="s">
        <v>103</v>
      </c>
      <c r="E37" s="3" t="s">
        <v>104</v>
      </c>
      <c r="F37" s="3"/>
      <c r="G37" s="4" t="s">
        <v>36</v>
      </c>
      <c r="H37" s="5">
        <v>8</v>
      </c>
      <c r="I37" s="26">
        <v>7.1159999999999997</v>
      </c>
      <c r="J37" s="6">
        <v>1500</v>
      </c>
      <c r="K37" s="6">
        <v>280</v>
      </c>
      <c r="L37" s="6">
        <v>280</v>
      </c>
      <c r="M37" s="7"/>
      <c r="N37" s="7"/>
      <c r="O37" s="8"/>
      <c r="P37" s="11">
        <f>SUM(Taula2[[#This Row],[CONSUM P1]:[CONSUM P6]])</f>
        <v>2060</v>
      </c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</row>
    <row r="38" spans="1:74" s="12" customFormat="1">
      <c r="A38" s="25">
        <v>35</v>
      </c>
      <c r="B38" s="157" t="s">
        <v>66</v>
      </c>
      <c r="C38" s="3" t="str">
        <f>CONCATENATE(Taula2[[#This Row],[Tipus subministrament]]," ",Taula2[[#This Row],[Num equip./subm.]])</f>
        <v>Quadre EP 35</v>
      </c>
      <c r="D38" s="13" t="s">
        <v>105</v>
      </c>
      <c r="E38" s="13" t="s">
        <v>106</v>
      </c>
      <c r="F38" s="13"/>
      <c r="G38" s="14" t="s">
        <v>49</v>
      </c>
      <c r="H38" s="15">
        <v>34.640999999999998</v>
      </c>
      <c r="I38" s="27">
        <v>16</v>
      </c>
      <c r="J38" s="6">
        <v>1500</v>
      </c>
      <c r="K38" s="6">
        <v>290</v>
      </c>
      <c r="L38" s="6">
        <v>290</v>
      </c>
      <c r="M38" s="16"/>
      <c r="N38" s="16"/>
      <c r="O38" s="17"/>
      <c r="P38" s="11">
        <f>SUM(Taula2[[#This Row],[CONSUM P1]:[CONSUM P6]])</f>
        <v>2080</v>
      </c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</row>
    <row r="39" spans="1:74" s="12" customFormat="1" ht="15" customHeight="1">
      <c r="A39" s="25">
        <v>36</v>
      </c>
      <c r="B39" s="157" t="s">
        <v>66</v>
      </c>
      <c r="C39" s="3" t="str">
        <f>CONCATENATE(Taula2[[#This Row],[Tipus subministrament]]," ",Taula2[[#This Row],[Num equip./subm.]])</f>
        <v>Quadre EP 36</v>
      </c>
      <c r="D39" s="3" t="s">
        <v>107</v>
      </c>
      <c r="E39" s="3" t="s">
        <v>108</v>
      </c>
      <c r="F39" s="3"/>
      <c r="G39" s="4" t="s">
        <v>49</v>
      </c>
      <c r="H39" s="5">
        <v>17.321000000000002</v>
      </c>
      <c r="I39" s="26">
        <v>16.739999999999998</v>
      </c>
      <c r="J39" s="6">
        <v>1500</v>
      </c>
      <c r="K39" s="6">
        <v>300</v>
      </c>
      <c r="L39" s="6">
        <v>300</v>
      </c>
      <c r="M39" s="7"/>
      <c r="N39" s="7"/>
      <c r="O39" s="8"/>
      <c r="P39" s="11">
        <f>SUM(Taula2[[#This Row],[CONSUM P1]:[CONSUM P6]])</f>
        <v>2100</v>
      </c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</row>
    <row r="40" spans="1:74" s="12" customFormat="1">
      <c r="A40" s="25">
        <v>37</v>
      </c>
      <c r="B40" s="157" t="s">
        <v>66</v>
      </c>
      <c r="C40" s="3" t="str">
        <f>CONCATENATE(Taula2[[#This Row],[Tipus subministrament]]," ",Taula2[[#This Row],[Num equip./subm.]])</f>
        <v>Quadre EP 37</v>
      </c>
      <c r="D40" s="13" t="s">
        <v>109</v>
      </c>
      <c r="E40" s="13" t="s">
        <v>110</v>
      </c>
      <c r="F40" s="13"/>
      <c r="G40" s="14" t="s">
        <v>49</v>
      </c>
      <c r="H40" s="15">
        <v>87</v>
      </c>
      <c r="I40" s="27">
        <v>0</v>
      </c>
      <c r="J40" s="6">
        <v>1500</v>
      </c>
      <c r="K40" s="6">
        <v>310</v>
      </c>
      <c r="L40" s="6">
        <v>310</v>
      </c>
      <c r="M40" s="16"/>
      <c r="N40" s="16"/>
      <c r="O40" s="17"/>
      <c r="P40" s="11">
        <f>SUM(Taula2[[#This Row],[CONSUM P1]:[CONSUM P6]])</f>
        <v>2120</v>
      </c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</row>
    <row r="41" spans="1:74" s="12" customFormat="1" ht="15" customHeight="1">
      <c r="A41" s="25">
        <v>38</v>
      </c>
      <c r="B41" s="157" t="s">
        <v>66</v>
      </c>
      <c r="C41" s="3" t="str">
        <f>CONCATENATE(Taula2[[#This Row],[Tipus subministrament]]," ",Taula2[[#This Row],[Num equip./subm.]])</f>
        <v>Quadre EP 38</v>
      </c>
      <c r="D41" s="13" t="s">
        <v>111</v>
      </c>
      <c r="E41" s="13" t="s">
        <v>112</v>
      </c>
      <c r="F41" s="13"/>
      <c r="G41" s="14" t="s">
        <v>49</v>
      </c>
      <c r="H41" s="15">
        <v>173</v>
      </c>
      <c r="I41" s="27">
        <v>0</v>
      </c>
      <c r="J41" s="6">
        <v>1500</v>
      </c>
      <c r="K41" s="6">
        <v>320</v>
      </c>
      <c r="L41" s="6">
        <v>320</v>
      </c>
      <c r="M41" s="16"/>
      <c r="N41" s="16"/>
      <c r="O41" s="17"/>
      <c r="P41" s="11">
        <f>SUM(Taula2[[#This Row],[CONSUM P1]:[CONSUM P6]])</f>
        <v>2140</v>
      </c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</row>
    <row r="42" spans="1:74" s="12" customFormat="1">
      <c r="A42" s="25">
        <v>39</v>
      </c>
      <c r="B42" s="157" t="s">
        <v>66</v>
      </c>
      <c r="C42" s="3" t="str">
        <f>CONCATENATE(Taula2[[#This Row],[Tipus subministrament]]," ",Taula2[[#This Row],[Num equip./subm.]])</f>
        <v>Quadre EP 39</v>
      </c>
      <c r="D42" s="3" t="s">
        <v>113</v>
      </c>
      <c r="E42" s="3" t="s">
        <v>114</v>
      </c>
      <c r="F42" s="3"/>
      <c r="G42" s="4" t="s">
        <v>49</v>
      </c>
      <c r="H42" s="5">
        <v>27.713000000000001</v>
      </c>
      <c r="I42" s="26">
        <v>27.382000000000001</v>
      </c>
      <c r="J42" s="6">
        <v>1500</v>
      </c>
      <c r="K42" s="6">
        <v>330</v>
      </c>
      <c r="L42" s="6">
        <v>330</v>
      </c>
      <c r="M42" s="7"/>
      <c r="N42" s="7"/>
      <c r="O42" s="8"/>
      <c r="P42" s="11">
        <f>SUM(Taula2[[#This Row],[CONSUM P1]:[CONSUM P6]])</f>
        <v>2160</v>
      </c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</row>
    <row r="43" spans="1:74" s="2" customFormat="1" ht="15" customHeight="1">
      <c r="A43" s="25">
        <v>40</v>
      </c>
      <c r="B43" s="157" t="s">
        <v>66</v>
      </c>
      <c r="C43" s="3" t="str">
        <f>CONCATENATE(Taula2[[#This Row],[Tipus subministrament]]," ",Taula2[[#This Row],[Num equip./subm.]])</f>
        <v>Quadre EP 40</v>
      </c>
      <c r="D43" s="3" t="s">
        <v>115</v>
      </c>
      <c r="E43" s="3" t="s">
        <v>116</v>
      </c>
      <c r="F43" s="3"/>
      <c r="G43" s="4" t="s">
        <v>49</v>
      </c>
      <c r="H43" s="5">
        <v>17.321000000000002</v>
      </c>
      <c r="I43" s="26">
        <v>26</v>
      </c>
      <c r="J43" s="6">
        <v>1500</v>
      </c>
      <c r="K43" s="6">
        <v>340</v>
      </c>
      <c r="L43" s="6">
        <v>340</v>
      </c>
      <c r="M43" s="7"/>
      <c r="N43" s="7"/>
      <c r="O43" s="8"/>
      <c r="P43" s="11">
        <f>SUM(Taula2[[#This Row],[CONSUM P1]:[CONSUM P6]])</f>
        <v>2180</v>
      </c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</row>
    <row r="44" spans="1:74" s="12" customFormat="1">
      <c r="A44" s="25">
        <v>41</v>
      </c>
      <c r="B44" s="157" t="s">
        <v>66</v>
      </c>
      <c r="C44" s="3" t="str">
        <f>CONCATENATE(Taula2[[#This Row],[Tipus subministrament]]," ",Taula2[[#This Row],[Num equip./subm.]])</f>
        <v>Quadre EP 41</v>
      </c>
      <c r="D44" s="13" t="s">
        <v>117</v>
      </c>
      <c r="E44" s="13" t="s">
        <v>118</v>
      </c>
      <c r="F44" s="13"/>
      <c r="G44" s="14" t="s">
        <v>49</v>
      </c>
      <c r="H44" s="15">
        <v>63</v>
      </c>
      <c r="I44" s="27">
        <v>0</v>
      </c>
      <c r="J44" s="6">
        <v>1500</v>
      </c>
      <c r="K44" s="6">
        <v>350</v>
      </c>
      <c r="L44" s="6">
        <v>350</v>
      </c>
      <c r="M44" s="16"/>
      <c r="N44" s="16"/>
      <c r="O44" s="17"/>
      <c r="P44" s="11">
        <f>SUM(Taula2[[#This Row],[CONSUM P1]:[CONSUM P6]])</f>
        <v>2200</v>
      </c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</row>
    <row r="45" spans="1:74" s="12" customFormat="1" ht="15" customHeight="1">
      <c r="A45" s="25">
        <v>42</v>
      </c>
      <c r="B45" s="157" t="s">
        <v>66</v>
      </c>
      <c r="C45" s="3" t="str">
        <f>CONCATENATE(Taula2[[#This Row],[Tipus subministrament]]," ",Taula2[[#This Row],[Num equip./subm.]])</f>
        <v>Quadre EP 42</v>
      </c>
      <c r="D45" s="13" t="s">
        <v>119</v>
      </c>
      <c r="E45" s="13" t="s">
        <v>120</v>
      </c>
      <c r="F45" s="13"/>
      <c r="G45" s="14" t="s">
        <v>49</v>
      </c>
      <c r="H45" s="15">
        <v>20</v>
      </c>
      <c r="I45" s="27">
        <v>23</v>
      </c>
      <c r="J45" s="6">
        <v>1500</v>
      </c>
      <c r="K45" s="6">
        <v>360</v>
      </c>
      <c r="L45" s="6">
        <v>360</v>
      </c>
      <c r="M45" s="16"/>
      <c r="N45" s="16"/>
      <c r="O45" s="17"/>
      <c r="P45" s="11">
        <f>SUM(Taula2[[#This Row],[CONSUM P1]:[CONSUM P6]])</f>
        <v>2220</v>
      </c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</row>
    <row r="46" spans="1:74" s="12" customFormat="1" ht="15" thickBot="1">
      <c r="A46" s="25">
        <v>43</v>
      </c>
      <c r="B46" s="157" t="s">
        <v>66</v>
      </c>
      <c r="C46" s="3" t="str">
        <f>CONCATENATE(Taula2[[#This Row],[Tipus subministrament]]," ",Taula2[[#This Row],[Num equip./subm.]])</f>
        <v>Quadre EP 43</v>
      </c>
      <c r="D46" s="13" t="s">
        <v>121</v>
      </c>
      <c r="E46" s="13" t="s">
        <v>122</v>
      </c>
      <c r="F46" s="13"/>
      <c r="G46" s="14" t="s">
        <v>49</v>
      </c>
      <c r="H46" s="15">
        <v>125</v>
      </c>
      <c r="I46" s="27">
        <v>0</v>
      </c>
      <c r="J46" s="6">
        <v>1500</v>
      </c>
      <c r="K46" s="6">
        <v>370</v>
      </c>
      <c r="L46" s="6">
        <v>370</v>
      </c>
      <c r="M46" s="21"/>
      <c r="N46" s="21"/>
      <c r="O46" s="22"/>
      <c r="P46" s="11">
        <f>SUM(Taula2[[#This Row],[CONSUM P1]:[CONSUM P6]])</f>
        <v>2240</v>
      </c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</row>
    <row r="47" spans="1:74" s="2" customFormat="1" ht="15" customHeight="1">
      <c r="A47" s="25">
        <v>44</v>
      </c>
      <c r="B47" s="157" t="s">
        <v>66</v>
      </c>
      <c r="C47" s="3" t="str">
        <f>CONCATENATE(Taula2[[#This Row],[Tipus subministrament]]," ",Taula2[[#This Row],[Num equip./subm.]])</f>
        <v>Quadre EP 44</v>
      </c>
      <c r="D47" s="24" t="s">
        <v>115</v>
      </c>
      <c r="E47" s="24" t="s">
        <v>116</v>
      </c>
      <c r="F47" s="24"/>
      <c r="G47" s="196" t="s">
        <v>49</v>
      </c>
      <c r="H47" s="197">
        <v>17.321000000000002</v>
      </c>
      <c r="I47" s="198">
        <v>26</v>
      </c>
      <c r="J47" s="6">
        <v>1500</v>
      </c>
      <c r="K47" s="6">
        <v>380</v>
      </c>
      <c r="L47" s="6">
        <v>380</v>
      </c>
      <c r="M47" s="16"/>
      <c r="N47" s="16"/>
      <c r="O47" s="17"/>
      <c r="P47" s="11">
        <f>SUM(Taula2[[#This Row],[CONSUM P1]:[CONSUM P6]])</f>
        <v>2260</v>
      </c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</row>
    <row r="48" spans="1:74" s="12" customFormat="1">
      <c r="A48" s="25">
        <v>45</v>
      </c>
      <c r="B48" s="157" t="s">
        <v>66</v>
      </c>
      <c r="C48" s="3" t="str">
        <f>CONCATENATE(Taula2[[#This Row],[Tipus subministrament]]," ",Taula2[[#This Row],[Num equip./subm.]])</f>
        <v>Quadre EP 45</v>
      </c>
      <c r="D48" s="13" t="s">
        <v>117</v>
      </c>
      <c r="E48" s="13" t="s">
        <v>118</v>
      </c>
      <c r="F48" s="13"/>
      <c r="G48" s="14" t="s">
        <v>49</v>
      </c>
      <c r="H48" s="15">
        <v>63</v>
      </c>
      <c r="I48" s="27">
        <v>0</v>
      </c>
      <c r="J48" s="6">
        <v>1500</v>
      </c>
      <c r="K48" s="6">
        <v>390</v>
      </c>
      <c r="L48" s="6">
        <v>390</v>
      </c>
      <c r="M48" s="16"/>
      <c r="N48" s="16"/>
      <c r="O48" s="17"/>
      <c r="P48" s="11">
        <f>SUM(Taula2[[#This Row],[CONSUM P1]:[CONSUM P6]])</f>
        <v>2280</v>
      </c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</row>
    <row r="49" spans="1:74" s="12" customFormat="1" ht="15" customHeight="1">
      <c r="A49" s="25">
        <v>46</v>
      </c>
      <c r="B49" s="157" t="s">
        <v>66</v>
      </c>
      <c r="C49" s="3" t="str">
        <f>CONCATENATE(Taula2[[#This Row],[Tipus subministrament]]," ",Taula2[[#This Row],[Num equip./subm.]])</f>
        <v>Quadre EP 46</v>
      </c>
      <c r="D49" s="3" t="s">
        <v>115</v>
      </c>
      <c r="E49" s="3" t="s">
        <v>116</v>
      </c>
      <c r="F49" s="3"/>
      <c r="G49" s="4" t="s">
        <v>49</v>
      </c>
      <c r="H49" s="5">
        <v>17.321000000000002</v>
      </c>
      <c r="I49" s="26">
        <v>26</v>
      </c>
      <c r="J49" s="6">
        <v>1500</v>
      </c>
      <c r="K49" s="6">
        <v>400</v>
      </c>
      <c r="L49" s="6">
        <v>400</v>
      </c>
      <c r="M49" s="7"/>
      <c r="N49" s="7"/>
      <c r="O49" s="8"/>
      <c r="P49" s="11">
        <f>SUM(Taula2[[#This Row],[CONSUM P1]:[CONSUM P6]])</f>
        <v>2300</v>
      </c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</row>
    <row r="50" spans="1:74" s="12" customFormat="1">
      <c r="A50" s="25">
        <v>47</v>
      </c>
      <c r="B50" s="157" t="s">
        <v>66</v>
      </c>
      <c r="C50" s="3" t="str">
        <f>CONCATENATE(Taula2[[#This Row],[Tipus subministrament]]," ",Taula2[[#This Row],[Num equip./subm.]])</f>
        <v>Quadre EP 47</v>
      </c>
      <c r="D50" s="13" t="s">
        <v>117</v>
      </c>
      <c r="E50" s="13" t="s">
        <v>118</v>
      </c>
      <c r="F50" s="13"/>
      <c r="G50" s="14" t="s">
        <v>49</v>
      </c>
      <c r="H50" s="15">
        <v>63</v>
      </c>
      <c r="I50" s="27">
        <v>0</v>
      </c>
      <c r="J50" s="6">
        <v>1500</v>
      </c>
      <c r="K50" s="6">
        <v>410</v>
      </c>
      <c r="L50" s="6">
        <v>410</v>
      </c>
      <c r="M50" s="7"/>
      <c r="N50" s="7"/>
      <c r="O50" s="8"/>
      <c r="P50" s="11">
        <f>SUM(Taula2[[#This Row],[CONSUM P1]:[CONSUM P6]])</f>
        <v>2320</v>
      </c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</row>
    <row r="51" spans="1:74" s="2" customFormat="1" ht="15" customHeight="1">
      <c r="A51" s="25">
        <v>48</v>
      </c>
      <c r="B51" s="157" t="s">
        <v>66</v>
      </c>
      <c r="C51" s="3" t="str">
        <f>CONCATENATE(Taula2[[#This Row],[Tipus subministrament]]," ",Taula2[[#This Row],[Num equip./subm.]])</f>
        <v>Quadre EP 48</v>
      </c>
      <c r="D51" s="3" t="s">
        <v>115</v>
      </c>
      <c r="E51" s="3" t="s">
        <v>116</v>
      </c>
      <c r="F51" s="3"/>
      <c r="G51" s="4" t="s">
        <v>49</v>
      </c>
      <c r="H51" s="5">
        <v>17.321000000000002</v>
      </c>
      <c r="I51" s="26">
        <v>26</v>
      </c>
      <c r="J51" s="6">
        <v>1500</v>
      </c>
      <c r="K51" s="6">
        <v>420</v>
      </c>
      <c r="L51" s="6">
        <v>420</v>
      </c>
      <c r="M51" s="16"/>
      <c r="N51" s="16"/>
      <c r="O51" s="17"/>
      <c r="P51" s="11">
        <f>SUM(Taula2[[#This Row],[CONSUM P1]:[CONSUM P6]])</f>
        <v>2340</v>
      </c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</row>
    <row r="52" spans="1:74" s="12" customFormat="1">
      <c r="A52" s="25">
        <v>49</v>
      </c>
      <c r="B52" s="157" t="s">
        <v>66</v>
      </c>
      <c r="C52" s="3" t="str">
        <f>CONCATENATE(Taula2[[#This Row],[Tipus subministrament]]," ",Taula2[[#This Row],[Num equip./subm.]])</f>
        <v>Quadre EP 49</v>
      </c>
      <c r="D52" s="13" t="s">
        <v>117</v>
      </c>
      <c r="E52" s="13" t="s">
        <v>118</v>
      </c>
      <c r="F52" s="13"/>
      <c r="G52" s="14" t="s">
        <v>49</v>
      </c>
      <c r="H52" s="15">
        <v>63</v>
      </c>
      <c r="I52" s="27">
        <v>0</v>
      </c>
      <c r="J52" s="6">
        <v>1500</v>
      </c>
      <c r="K52" s="6">
        <v>430</v>
      </c>
      <c r="L52" s="6">
        <v>430</v>
      </c>
      <c r="M52" s="16"/>
      <c r="N52" s="16"/>
      <c r="O52" s="17"/>
      <c r="P52" s="11">
        <f>SUM(Taula2[[#This Row],[CONSUM P1]:[CONSUM P6]])</f>
        <v>2360</v>
      </c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</row>
    <row r="53" spans="1:74" s="2" customFormat="1" ht="15" customHeight="1" thickBot="1">
      <c r="A53" s="244">
        <v>50</v>
      </c>
      <c r="B53" s="245" t="s">
        <v>66</v>
      </c>
      <c r="C53" s="246" t="str">
        <f>CONCATENATE(Taula2[[#This Row],[Tipus subministrament]]," ",Taula2[[#This Row],[Num equip./subm.]])</f>
        <v>Quadre EP 50</v>
      </c>
      <c r="D53" s="18" t="s">
        <v>117</v>
      </c>
      <c r="E53" s="18" t="s">
        <v>118</v>
      </c>
      <c r="F53" s="18"/>
      <c r="G53" s="19" t="s">
        <v>49</v>
      </c>
      <c r="H53" s="20">
        <v>63</v>
      </c>
      <c r="I53" s="28">
        <v>0</v>
      </c>
      <c r="J53" s="6">
        <v>1500</v>
      </c>
      <c r="K53" s="6">
        <v>440</v>
      </c>
      <c r="L53" s="6">
        <v>440</v>
      </c>
      <c r="M53" s="199"/>
      <c r="N53" s="199"/>
      <c r="O53" s="200"/>
      <c r="P53" s="201">
        <f>SUM(Taula2[[#This Row],[CONSUM P1]:[CONSUM P6]])</f>
        <v>2380</v>
      </c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</row>
    <row r="54" spans="1:74" s="2" customFormat="1" ht="15" thickBot="1">
      <c r="A54" s="37"/>
      <c r="B54" s="37"/>
      <c r="C54" s="37"/>
      <c r="D54" s="37"/>
      <c r="E54" s="37"/>
      <c r="F54" s="37"/>
      <c r="G54" s="37"/>
      <c r="H54" s="37"/>
      <c r="I54" s="37"/>
      <c r="J54" s="207">
        <f>SUM(J4:J53)</f>
        <v>75000</v>
      </c>
      <c r="K54" s="206">
        <f t="shared" ref="K54:O54" si="0">SUM(K4:K46)</f>
        <v>15580</v>
      </c>
      <c r="L54" s="204">
        <f t="shared" si="0"/>
        <v>15580</v>
      </c>
      <c r="M54" s="202">
        <f t="shared" si="0"/>
        <v>0</v>
      </c>
      <c r="N54" s="202">
        <f t="shared" si="0"/>
        <v>0</v>
      </c>
      <c r="O54" s="205">
        <f t="shared" si="0"/>
        <v>0</v>
      </c>
      <c r="P54" s="203">
        <f>SUM(P4:P53)</f>
        <v>111900</v>
      </c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</row>
    <row r="55" spans="1:74" s="2" customForma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</row>
    <row r="56" spans="1:74">
      <c r="A56" s="248"/>
      <c r="B56" s="248"/>
      <c r="C56" s="248"/>
    </row>
  </sheetData>
  <phoneticPr fontId="11" type="noConversion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AA134F-665D-45CD-AFA2-43C7E64CAED3}">
          <x14:formula1>
            <xm:f>'Validació de dades'!$B$4:$B$5</xm:f>
          </x14:formula1>
          <xm:sqref>B4:B53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25026-E767-4EAA-9F6A-3A913667A0C1}">
  <sheetPr>
    <tabColor theme="7" tint="-0.249977111117893"/>
  </sheetPr>
  <dimension ref="A1:P36"/>
  <sheetViews>
    <sheetView zoomScale="85" zoomScaleNormal="85" workbookViewId="0">
      <selection activeCell="E38" sqref="E38"/>
    </sheetView>
  </sheetViews>
  <sheetFormatPr defaultColWidth="8.85546875" defaultRowHeight="14.45"/>
  <cols>
    <col min="1" max="1" width="1.28515625" style="37" customWidth="1"/>
    <col min="2" max="2" width="2.28515625" style="37" customWidth="1"/>
    <col min="3" max="3" width="31.28515625" style="37" customWidth="1"/>
    <col min="4" max="4" width="3.85546875" style="37" customWidth="1"/>
    <col min="5" max="5" width="20.42578125" style="37" customWidth="1"/>
    <col min="6" max="6" width="4.85546875" style="37" customWidth="1"/>
    <col min="7" max="7" width="22.85546875" style="37" customWidth="1"/>
    <col min="8" max="8" width="4.85546875" style="37" customWidth="1"/>
    <col min="9" max="9" width="22.85546875" style="37" customWidth="1"/>
    <col min="10" max="10" width="4.85546875" style="37" customWidth="1"/>
    <col min="11" max="11" width="22.85546875" style="37" customWidth="1"/>
    <col min="12" max="12" width="4.85546875" style="37" customWidth="1"/>
    <col min="13" max="13" width="22.85546875" style="37" customWidth="1"/>
    <col min="14" max="14" width="3.7109375" style="37" customWidth="1"/>
    <col min="15" max="15" width="0.7109375" style="37" customWidth="1"/>
    <col min="16" max="16384" width="8.85546875" style="37"/>
  </cols>
  <sheetData>
    <row r="1" spans="1:15" s="77" customFormat="1" ht="18">
      <c r="A1" s="76"/>
      <c r="B1" s="76"/>
      <c r="C1" s="76" t="s">
        <v>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s="77" customFormat="1" ht="18">
      <c r="A2" s="78"/>
      <c r="B2" s="78"/>
      <c r="C2" s="79" t="s">
        <v>123</v>
      </c>
      <c r="D2" s="7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ht="6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ht="18">
      <c r="A4" s="81"/>
      <c r="B4" s="82"/>
      <c r="C4" s="276"/>
      <c r="D4" s="276"/>
      <c r="E4" s="276"/>
      <c r="F4" s="83"/>
      <c r="G4" s="84"/>
      <c r="H4" s="83"/>
      <c r="I4" s="84"/>
      <c r="J4" s="83"/>
      <c r="K4" s="84"/>
      <c r="L4" s="83"/>
      <c r="M4" s="84"/>
      <c r="N4" s="84"/>
      <c r="O4" s="80"/>
    </row>
    <row r="5" spans="1:15" ht="18">
      <c r="A5" s="81"/>
      <c r="B5" s="82"/>
      <c r="C5" s="83" t="s">
        <v>124</v>
      </c>
      <c r="D5" s="83"/>
      <c r="E5" s="85" t="s">
        <v>125</v>
      </c>
      <c r="F5" s="86"/>
      <c r="G5" s="83"/>
      <c r="H5" s="86"/>
      <c r="I5" s="83"/>
      <c r="J5" s="86"/>
      <c r="K5" s="83"/>
      <c r="L5" s="86"/>
      <c r="M5" s="83"/>
      <c r="N5" s="83"/>
      <c r="O5" s="80"/>
    </row>
    <row r="6" spans="1:15" ht="19.149999999999999" customHeight="1">
      <c r="A6" s="81"/>
      <c r="B6" s="82"/>
      <c r="C6" s="83"/>
      <c r="D6" s="83"/>
      <c r="E6" s="87"/>
      <c r="F6" s="86"/>
      <c r="G6" s="87"/>
      <c r="H6" s="86"/>
      <c r="I6" s="87"/>
      <c r="J6" s="86"/>
      <c r="K6" s="87"/>
      <c r="L6" s="86"/>
      <c r="M6" s="87"/>
      <c r="N6" s="87"/>
      <c r="O6" s="80"/>
    </row>
    <row r="7" spans="1:15" ht="18">
      <c r="A7" s="81"/>
      <c r="B7" s="82"/>
      <c r="C7" s="87"/>
      <c r="D7" s="87"/>
      <c r="E7" s="86" t="s">
        <v>126</v>
      </c>
      <c r="F7" s="86"/>
      <c r="G7" s="86" t="s">
        <v>127</v>
      </c>
      <c r="H7" s="86"/>
      <c r="I7" s="87"/>
      <c r="J7" s="87"/>
      <c r="K7" s="277" t="s">
        <v>128</v>
      </c>
      <c r="L7" s="277"/>
      <c r="M7" s="277"/>
      <c r="N7" s="86"/>
      <c r="O7" s="80"/>
    </row>
    <row r="8" spans="1:15" ht="19.899999999999999" customHeight="1">
      <c r="A8" s="81"/>
      <c r="B8" s="82"/>
      <c r="C8" s="88" t="s">
        <v>129</v>
      </c>
      <c r="D8" s="88"/>
      <c r="E8" s="89">
        <v>45292</v>
      </c>
      <c r="F8" s="90"/>
      <c r="G8" s="89">
        <v>45657</v>
      </c>
      <c r="H8" s="90"/>
      <c r="I8" s="87"/>
      <c r="J8" s="87"/>
      <c r="K8" s="277"/>
      <c r="L8" s="277"/>
      <c r="M8" s="277"/>
      <c r="N8" s="91"/>
      <c r="O8" s="80"/>
    </row>
    <row r="9" spans="1:15" ht="4.9000000000000004" customHeight="1">
      <c r="A9" s="81"/>
      <c r="B9" s="82"/>
      <c r="C9" s="88"/>
      <c r="D9" s="92"/>
      <c r="E9" s="93"/>
      <c r="F9" s="93"/>
      <c r="G9" s="94"/>
      <c r="H9" s="93"/>
      <c r="I9" s="87"/>
      <c r="J9" s="87"/>
      <c r="K9" s="87"/>
      <c r="L9" s="87"/>
      <c r="M9" s="87"/>
      <c r="N9" s="91"/>
      <c r="O9" s="80"/>
    </row>
    <row r="10" spans="1:15" ht="33.4" customHeight="1">
      <c r="A10" s="81"/>
      <c r="B10" s="82"/>
      <c r="C10" s="88"/>
      <c r="D10" s="92"/>
      <c r="E10" s="105" t="s">
        <v>130</v>
      </c>
      <c r="F10" s="93"/>
      <c r="G10" s="130" t="s">
        <v>131</v>
      </c>
      <c r="H10" s="93"/>
      <c r="I10" s="105" t="s">
        <v>132</v>
      </c>
      <c r="J10" s="93"/>
      <c r="K10" s="105" t="s">
        <v>133</v>
      </c>
      <c r="L10" s="93"/>
      <c r="M10" s="105" t="s">
        <v>134</v>
      </c>
      <c r="N10" s="91"/>
      <c r="O10" s="80"/>
    </row>
    <row r="11" spans="1:15" ht="18">
      <c r="A11" s="81"/>
      <c r="B11" s="82"/>
      <c r="C11" s="95" t="s">
        <v>135</v>
      </c>
      <c r="D11" s="88"/>
      <c r="E11" s="106">
        <v>0.2</v>
      </c>
      <c r="F11" s="90"/>
      <c r="G11" s="121">
        <f>IF(K11="",80%,K11)</f>
        <v>0.8</v>
      </c>
      <c r="H11" s="90"/>
      <c r="I11" s="121">
        <f>IF(M11="",0%,M11)</f>
        <v>0</v>
      </c>
      <c r="J11" s="90"/>
      <c r="K11" s="132"/>
      <c r="L11" s="90"/>
      <c r="M11" s="132"/>
      <c r="N11" s="91"/>
      <c r="O11" s="80"/>
    </row>
    <row r="12" spans="1:15" ht="4.9000000000000004" customHeight="1">
      <c r="A12" s="81"/>
      <c r="B12" s="82"/>
      <c r="C12" s="95"/>
      <c r="D12" s="96"/>
      <c r="E12" s="93"/>
      <c r="F12" s="93"/>
      <c r="G12" s="94"/>
      <c r="H12" s="93"/>
      <c r="I12" s="94"/>
      <c r="J12" s="93"/>
      <c r="K12" s="94"/>
      <c r="L12" s="93"/>
      <c r="M12" s="94"/>
      <c r="N12" s="91"/>
      <c r="O12" s="80"/>
    </row>
    <row r="13" spans="1:15" ht="19.899999999999999" customHeight="1">
      <c r="A13" s="81"/>
      <c r="B13" s="82"/>
      <c r="C13" s="95" t="s">
        <v>136</v>
      </c>
      <c r="D13" s="88"/>
      <c r="E13" s="106">
        <v>0.5</v>
      </c>
      <c r="F13" s="90"/>
      <c r="G13" s="121">
        <f>IF(K13="",70%,K13)</f>
        <v>0.7</v>
      </c>
      <c r="H13" s="90"/>
      <c r="I13" s="121">
        <f>IF(M13="",0%,M13)</f>
        <v>0</v>
      </c>
      <c r="J13" s="90"/>
      <c r="K13" s="132"/>
      <c r="L13" s="90"/>
      <c r="M13" s="132"/>
      <c r="N13" s="91"/>
      <c r="O13" s="80"/>
    </row>
    <row r="14" spans="1:15" ht="4.9000000000000004" customHeight="1">
      <c r="A14" s="81"/>
      <c r="B14" s="82"/>
      <c r="C14" s="95"/>
      <c r="D14" s="96"/>
      <c r="E14" s="93"/>
      <c r="F14" s="93"/>
      <c r="G14" s="94"/>
      <c r="H14" s="93"/>
      <c r="I14" s="94"/>
      <c r="J14" s="93"/>
      <c r="K14" s="93"/>
      <c r="L14" s="93"/>
      <c r="M14" s="93"/>
      <c r="N14" s="91"/>
      <c r="O14" s="80"/>
    </row>
    <row r="15" spans="1:15" ht="18">
      <c r="A15" s="81"/>
      <c r="B15" s="82"/>
      <c r="C15" s="95" t="s">
        <v>137</v>
      </c>
      <c r="D15" s="88"/>
      <c r="E15" s="106">
        <v>1</v>
      </c>
      <c r="F15" s="90"/>
      <c r="G15" s="121">
        <f>IF(K15="",50%,K15)</f>
        <v>0.5</v>
      </c>
      <c r="H15" s="90"/>
      <c r="I15" s="121">
        <f>IF(M15="",5%,M15)</f>
        <v>0.05</v>
      </c>
      <c r="J15" s="90"/>
      <c r="K15" s="132"/>
      <c r="L15" s="90"/>
      <c r="M15" s="132"/>
      <c r="N15" s="91"/>
      <c r="O15" s="80"/>
    </row>
    <row r="16" spans="1:15" ht="4.9000000000000004" customHeight="1">
      <c r="A16" s="81"/>
      <c r="B16" s="82"/>
      <c r="C16" s="95"/>
      <c r="D16" s="96"/>
      <c r="E16" s="93"/>
      <c r="F16" s="93"/>
      <c r="G16" s="93"/>
      <c r="H16" s="93"/>
      <c r="I16" s="93"/>
      <c r="J16" s="93"/>
      <c r="K16" s="93"/>
      <c r="L16" s="93"/>
      <c r="M16" s="93"/>
      <c r="N16" s="91"/>
      <c r="O16" s="80"/>
    </row>
    <row r="17" spans="1:16" ht="18">
      <c r="A17" s="81"/>
      <c r="B17" s="82"/>
      <c r="C17" s="95" t="s">
        <v>138</v>
      </c>
      <c r="D17" s="88"/>
      <c r="E17" s="106">
        <v>1.5</v>
      </c>
      <c r="F17" s="90"/>
      <c r="G17" s="121">
        <f>IF(K17="",35%,K17)</f>
        <v>0.35</v>
      </c>
      <c r="H17" s="90"/>
      <c r="I17" s="121">
        <f>IF(M17="",25%,M17)</f>
        <v>0.25</v>
      </c>
      <c r="J17" s="90"/>
      <c r="K17" s="132"/>
      <c r="L17" s="90"/>
      <c r="M17" s="132"/>
      <c r="N17" s="91"/>
      <c r="O17" s="80"/>
    </row>
    <row r="18" spans="1:16" ht="15.6" customHeight="1">
      <c r="A18" s="81"/>
      <c r="B18" s="82"/>
      <c r="C18" s="95"/>
      <c r="D18" s="88"/>
      <c r="E18" s="97"/>
      <c r="F18" s="90"/>
      <c r="G18" s="97"/>
      <c r="H18" s="90"/>
      <c r="I18" s="97"/>
      <c r="J18" s="90"/>
      <c r="K18" s="97"/>
      <c r="L18" s="90"/>
      <c r="M18" s="97"/>
      <c r="N18" s="91"/>
      <c r="O18" s="80"/>
    </row>
    <row r="19" spans="1:16" ht="18">
      <c r="A19" s="81"/>
      <c r="B19" s="82"/>
      <c r="C19" s="88" t="s">
        <v>139</v>
      </c>
      <c r="D19" s="88"/>
      <c r="E19" s="127" t="s">
        <v>140</v>
      </c>
      <c r="F19" s="86"/>
      <c r="G19" s="86"/>
      <c r="H19" s="86"/>
      <c r="I19" s="86"/>
      <c r="J19" s="86"/>
      <c r="K19" s="86"/>
      <c r="L19" s="86"/>
      <c r="M19" s="86"/>
      <c r="N19" s="91"/>
      <c r="O19" s="80"/>
    </row>
    <row r="20" spans="1:16" ht="6" customHeight="1">
      <c r="A20" s="81"/>
      <c r="B20" s="82"/>
      <c r="C20" s="88"/>
      <c r="D20" s="88"/>
      <c r="E20" s="86"/>
      <c r="F20" s="86"/>
      <c r="G20" s="86"/>
      <c r="H20" s="86"/>
      <c r="I20" s="86"/>
      <c r="J20" s="86"/>
      <c r="K20" s="86"/>
      <c r="L20" s="86"/>
      <c r="M20" s="86"/>
      <c r="N20" s="91"/>
      <c r="O20" s="80"/>
    </row>
    <row r="21" spans="1:16" ht="16.149999999999999" customHeight="1">
      <c r="A21" s="81"/>
      <c r="B21" s="82"/>
      <c r="C21" s="95" t="s">
        <v>141</v>
      </c>
      <c r="D21" s="88"/>
      <c r="E21" s="107">
        <v>1350</v>
      </c>
      <c r="F21" s="98"/>
      <c r="G21" s="98"/>
      <c r="H21" s="98"/>
      <c r="I21" s="122"/>
      <c r="J21" s="98"/>
      <c r="K21" s="123"/>
      <c r="L21" s="98"/>
      <c r="M21" s="123"/>
      <c r="N21" s="91"/>
      <c r="O21" s="80"/>
      <c r="P21" s="99" t="e">
        <f>E19-1/24</f>
        <v>#VALUE!</v>
      </c>
    </row>
    <row r="22" spans="1:16" ht="6" customHeight="1">
      <c r="A22" s="81"/>
      <c r="B22" s="82"/>
      <c r="C22" s="95"/>
      <c r="D22" s="88"/>
      <c r="E22" s="98"/>
      <c r="F22" s="98"/>
      <c r="G22" s="98"/>
      <c r="H22" s="98"/>
      <c r="I22" s="98"/>
      <c r="J22" s="98"/>
      <c r="K22" s="100"/>
      <c r="L22" s="98"/>
      <c r="M22" s="100"/>
      <c r="N22" s="91"/>
      <c r="O22" s="80"/>
      <c r="P22" s="99"/>
    </row>
    <row r="23" spans="1:16" ht="18">
      <c r="A23" s="81"/>
      <c r="B23" s="82"/>
      <c r="C23" s="95" t="s">
        <v>142</v>
      </c>
      <c r="D23" s="88"/>
      <c r="E23" s="108">
        <v>0.2</v>
      </c>
      <c r="F23" s="98"/>
      <c r="G23" s="124"/>
      <c r="H23" s="98"/>
      <c r="I23" s="124"/>
      <c r="J23" s="98"/>
      <c r="K23" s="123"/>
      <c r="L23" s="98"/>
      <c r="M23" s="123"/>
      <c r="N23" s="91"/>
      <c r="O23" s="80"/>
      <c r="P23" s="99">
        <f>G23-1/24</f>
        <v>-4.1666666666666664E-2</v>
      </c>
    </row>
    <row r="24" spans="1:16" ht="6" customHeight="1">
      <c r="A24" s="81"/>
      <c r="B24" s="82"/>
      <c r="C24" s="95"/>
      <c r="D24" s="88"/>
      <c r="E24" s="98"/>
      <c r="F24" s="98"/>
      <c r="G24" s="98"/>
      <c r="H24" s="98"/>
      <c r="I24" s="98"/>
      <c r="J24" s="98"/>
      <c r="K24" s="100"/>
      <c r="L24" s="98"/>
      <c r="M24" s="100"/>
      <c r="N24" s="91"/>
      <c r="O24" s="80"/>
      <c r="P24" s="99"/>
    </row>
    <row r="25" spans="1:16" ht="18">
      <c r="A25" s="81"/>
      <c r="B25" s="82"/>
      <c r="C25" s="95" t="s">
        <v>143</v>
      </c>
      <c r="D25" s="88"/>
      <c r="E25" s="109">
        <v>0.15</v>
      </c>
      <c r="F25" s="98"/>
      <c r="G25" s="125"/>
      <c r="H25" s="98"/>
      <c r="I25" s="125"/>
      <c r="J25" s="98"/>
      <c r="K25" s="123"/>
      <c r="L25" s="98"/>
      <c r="M25" s="123"/>
      <c r="N25" s="91"/>
      <c r="O25" s="80"/>
      <c r="P25" s="99">
        <f>G25-1/24</f>
        <v>-4.1666666666666664E-2</v>
      </c>
    </row>
    <row r="26" spans="1:16" ht="6" customHeight="1">
      <c r="A26" s="81"/>
      <c r="B26" s="82"/>
      <c r="C26" s="95"/>
      <c r="D26" s="88"/>
      <c r="E26" s="98"/>
      <c r="F26" s="98"/>
      <c r="G26" s="98"/>
      <c r="H26" s="98"/>
      <c r="I26" s="98"/>
      <c r="J26" s="98"/>
      <c r="K26" s="100"/>
      <c r="L26" s="98"/>
      <c r="M26" s="100"/>
      <c r="N26" s="91"/>
      <c r="O26" s="80"/>
      <c r="P26" s="99"/>
    </row>
    <row r="27" spans="1:16" ht="18">
      <c r="A27" s="81"/>
      <c r="B27" s="82"/>
      <c r="C27" s="95" t="s">
        <v>144</v>
      </c>
      <c r="D27" s="88"/>
      <c r="E27" s="109">
        <v>0.06</v>
      </c>
      <c r="F27" s="98"/>
      <c r="G27" s="125"/>
      <c r="H27" s="98"/>
      <c r="I27" s="125"/>
      <c r="J27" s="98"/>
      <c r="K27" s="123"/>
      <c r="L27" s="98"/>
      <c r="M27" s="123"/>
      <c r="N27" s="91"/>
      <c r="O27" s="80"/>
      <c r="P27" s="99">
        <f>G27-1/24</f>
        <v>-4.1666666666666664E-2</v>
      </c>
    </row>
    <row r="28" spans="1:16" ht="4.9000000000000004" customHeight="1">
      <c r="A28" s="81"/>
      <c r="B28" s="82"/>
      <c r="C28" s="88"/>
      <c r="D28" s="101"/>
      <c r="E28" s="102"/>
      <c r="F28" s="102"/>
      <c r="G28" s="102"/>
      <c r="H28" s="102"/>
      <c r="I28" s="102"/>
      <c r="J28" s="102"/>
      <c r="K28" s="102"/>
      <c r="L28" s="102"/>
      <c r="M28" s="102"/>
      <c r="N28" s="91"/>
      <c r="O28" s="80"/>
      <c r="P28" s="99"/>
    </row>
    <row r="29" spans="1:16" ht="22.15" customHeight="1">
      <c r="A29" s="81"/>
      <c r="B29" s="82"/>
      <c r="C29" s="98"/>
      <c r="D29" s="126"/>
      <c r="E29" s="169" t="s">
        <v>145</v>
      </c>
      <c r="F29" s="169"/>
      <c r="G29" s="170" t="s">
        <v>146</v>
      </c>
      <c r="H29" s="169"/>
      <c r="I29" s="170" t="s">
        <v>147</v>
      </c>
      <c r="J29" s="98"/>
      <c r="K29" s="123"/>
      <c r="L29" s="98"/>
      <c r="M29" s="123"/>
      <c r="N29" s="91"/>
      <c r="O29" s="80"/>
      <c r="P29" s="99" t="e">
        <f>G29-1/24</f>
        <v>#VALUE!</v>
      </c>
    </row>
    <row r="30" spans="1:16" ht="6" customHeight="1">
      <c r="A30" s="81"/>
      <c r="B30" s="82"/>
      <c r="C30" s="98"/>
      <c r="D30" s="100"/>
      <c r="E30" s="98"/>
      <c r="F30" s="98"/>
      <c r="G30" s="100"/>
      <c r="H30" s="98"/>
      <c r="I30" s="100"/>
      <c r="J30" s="98"/>
      <c r="K30" s="100"/>
      <c r="L30" s="98"/>
      <c r="M30" s="100"/>
      <c r="N30" s="91"/>
      <c r="O30" s="80"/>
      <c r="P30" s="99"/>
    </row>
    <row r="31" spans="1:16" ht="18">
      <c r="A31" s="81"/>
      <c r="B31" s="82"/>
      <c r="C31" s="95" t="s">
        <v>148</v>
      </c>
      <c r="D31" s="88"/>
      <c r="E31" s="168">
        <v>1200</v>
      </c>
      <c r="F31" s="98"/>
      <c r="G31" s="168">
        <v>1000</v>
      </c>
      <c r="H31" s="98"/>
      <c r="I31" s="168">
        <v>800</v>
      </c>
      <c r="J31" s="98"/>
      <c r="K31" s="123"/>
      <c r="L31" s="98"/>
      <c r="M31" s="123"/>
      <c r="N31" s="91"/>
      <c r="O31" s="80"/>
      <c r="P31" s="99">
        <f>G31-1/24</f>
        <v>999.95833333333337</v>
      </c>
    </row>
    <row r="32" spans="1:16" ht="6" customHeight="1">
      <c r="A32" s="81"/>
      <c r="B32" s="82"/>
      <c r="C32" s="95"/>
      <c r="D32" s="88"/>
      <c r="E32" s="98"/>
      <c r="F32" s="98"/>
      <c r="G32" s="100"/>
      <c r="H32" s="98"/>
      <c r="I32" s="100"/>
      <c r="J32" s="98"/>
      <c r="K32" s="100"/>
      <c r="L32" s="98"/>
      <c r="M32" s="100"/>
      <c r="N32" s="91"/>
      <c r="O32" s="80"/>
      <c r="P32" s="99"/>
    </row>
    <row r="33" spans="1:16" ht="18">
      <c r="A33" s="81"/>
      <c r="B33" s="82"/>
      <c r="C33" s="95"/>
      <c r="D33" s="88"/>
      <c r="E33" s="123"/>
      <c r="F33" s="98"/>
      <c r="G33" s="123"/>
      <c r="H33" s="98"/>
      <c r="I33" s="123"/>
      <c r="J33" s="98"/>
      <c r="K33" s="123"/>
      <c r="L33" s="98"/>
      <c r="M33" s="123"/>
      <c r="N33" s="91"/>
      <c r="O33" s="80"/>
      <c r="P33" s="99">
        <f>G33-1/24</f>
        <v>-4.1666666666666664E-2</v>
      </c>
    </row>
    <row r="34" spans="1:16" ht="4.9000000000000004" customHeight="1">
      <c r="A34" s="81"/>
      <c r="B34" s="82"/>
      <c r="C34" s="88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3"/>
      <c r="O34" s="80"/>
    </row>
    <row r="35" spans="1:16" ht="7.15" customHeight="1">
      <c r="A35" s="81"/>
      <c r="B35" s="82"/>
      <c r="C35" s="88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80"/>
    </row>
    <row r="36" spans="1:16" ht="4.1500000000000004" customHeight="1">
      <c r="A36" s="81"/>
      <c r="B36" s="81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</row>
  </sheetData>
  <mergeCells count="2">
    <mergeCell ref="C4:E4"/>
    <mergeCell ref="K7:M8"/>
  </mergeCells>
  <conditionalFormatting sqref="D9:D10 D12 D16">
    <cfRule type="expression" dxfId="62" priority="17">
      <formula>ISBLANK(F9)</formula>
    </cfRule>
  </conditionalFormatting>
  <conditionalFormatting sqref="D14">
    <cfRule type="expression" dxfId="61" priority="13">
      <formula>ISBLANK(F14)</formula>
    </cfRule>
  </conditionalFormatting>
  <conditionalFormatting sqref="G8">
    <cfRule type="cellIs" dxfId="60" priority="15" operator="lessThan">
      <formula>E8</formula>
    </cfRule>
  </conditionalFormatting>
  <conditionalFormatting sqref="G10">
    <cfRule type="expression" dxfId="59" priority="3">
      <formula>AND(#REF!="El mateix equipament en diferents periodes",G10&lt;&gt;#REF!)</formula>
    </cfRule>
  </conditionalFormatting>
  <conditionalFormatting sqref="G22">
    <cfRule type="expression" dxfId="58" priority="2">
      <formula>AND(#REF!="El mateix equipament en diferents periodes",G22&lt;&gt;#REF!)</formula>
    </cfRule>
  </conditionalFormatting>
  <conditionalFormatting sqref="I10 K10 M10 E22">
    <cfRule type="expression" dxfId="57" priority="8">
      <formula>AND(#REF!="El mateix equipament en diferents periodes",E10&lt;&gt;#REF!)</formula>
    </cfRule>
  </conditionalFormatting>
  <conditionalFormatting sqref="I22">
    <cfRule type="expression" dxfId="56" priority="1">
      <formula>AND(#REF!="El mateix equipament en diferents periodes",I22&lt;&gt;#REF!)</formula>
    </cfRule>
  </conditionalFormatting>
  <conditionalFormatting sqref="K22">
    <cfRule type="expression" dxfId="55" priority="7">
      <formula>AND(#REF!="El mateix equipament en diferents periodes",K22&lt;&gt;$G$8)</formula>
    </cfRule>
  </conditionalFormatting>
  <conditionalFormatting sqref="K26">
    <cfRule type="expression" dxfId="54" priority="6">
      <formula>AND(#REF!="El mateix equipament en diferents periodes",K26&lt;&gt;$G$8)</formula>
    </cfRule>
  </conditionalFormatting>
  <conditionalFormatting sqref="M22 M26 G32 I32 K32 M32">
    <cfRule type="expression" dxfId="53" priority="4">
      <formula>AND(#REF!="El mateix equipament en diferents periodes",G22&lt;&gt;$G$8)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52B67-40CD-473D-8D94-D8085CF9FEC6}">
  <sheetPr>
    <tabColor theme="8" tint="0.39997558519241921"/>
  </sheetPr>
  <dimension ref="A1:AD61"/>
  <sheetViews>
    <sheetView zoomScale="85" zoomScaleNormal="85" workbookViewId="0"/>
  </sheetViews>
  <sheetFormatPr defaultColWidth="8.7109375" defaultRowHeight="14.45"/>
  <cols>
    <col min="1" max="1" width="8.7109375" style="135"/>
    <col min="2" max="2" width="16.5703125" style="135" customWidth="1"/>
    <col min="3" max="3" width="19.42578125" style="135" customWidth="1"/>
    <col min="4" max="4" width="16.28515625" style="135" customWidth="1"/>
    <col min="5" max="5" width="15.7109375" style="135" customWidth="1"/>
    <col min="6" max="6" width="14.28515625" style="135" customWidth="1"/>
    <col min="7" max="7" width="28.28515625" style="135" customWidth="1"/>
    <col min="8" max="8" width="19.28515625" style="135" customWidth="1"/>
    <col min="9" max="9" width="25.28515625" style="135" customWidth="1"/>
    <col min="10" max="10" width="22.28515625" style="135" customWidth="1"/>
    <col min="11" max="16384" width="8.7109375" style="135"/>
  </cols>
  <sheetData>
    <row r="1" spans="1:30" ht="25.9">
      <c r="A1" s="111" t="s">
        <v>149</v>
      </c>
      <c r="B1" s="111"/>
      <c r="C1" s="111"/>
      <c r="D1" s="112"/>
      <c r="E1" s="113"/>
      <c r="F1" s="113"/>
      <c r="G1" s="113"/>
      <c r="H1" s="113"/>
      <c r="I1" s="113"/>
      <c r="J1" s="11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4"/>
      <c r="X1" s="134"/>
      <c r="Y1" s="134"/>
      <c r="Z1" s="134"/>
      <c r="AA1" s="134"/>
      <c r="AB1" s="134"/>
      <c r="AC1" s="134"/>
      <c r="AD1" s="134"/>
    </row>
    <row r="2" spans="1:30" ht="23.45">
      <c r="A2" s="115" t="str">
        <f>CONCATENATE('Introducció criteris'!$C$11,": produint el ",'Introducció criteris'!E11*100,"% del consum i autoconsumint un ",'Introducció criteris'!$G$11*100,"% de la producció")</f>
        <v>Escenari 1: produint el 20% del consum i autoconsumint un 80% de la producció</v>
      </c>
      <c r="B2" s="115"/>
      <c r="C2" s="115"/>
      <c r="D2" s="115"/>
      <c r="E2" s="115"/>
      <c r="F2" s="115"/>
      <c r="G2" s="116"/>
      <c r="H2" s="116"/>
      <c r="I2" s="116"/>
      <c r="J2" s="115"/>
      <c r="K2" s="136"/>
      <c r="L2" s="137"/>
      <c r="M2" s="137"/>
      <c r="N2" s="137"/>
      <c r="O2" s="137"/>
      <c r="P2" s="138"/>
      <c r="Q2" s="138"/>
      <c r="R2" s="137"/>
      <c r="S2" s="137"/>
      <c r="T2" s="137"/>
      <c r="U2" s="137"/>
      <c r="V2" s="137"/>
      <c r="W2" s="134"/>
      <c r="X2" s="134"/>
      <c r="Y2" s="134"/>
      <c r="Z2" s="134"/>
      <c r="AA2" s="134"/>
      <c r="AB2" s="134"/>
      <c r="AC2" s="134"/>
      <c r="AD2" s="134"/>
    </row>
    <row r="3" spans="1:30" ht="33" customHeight="1" thickBot="1">
      <c r="A3" s="159" t="s">
        <v>150</v>
      </c>
      <c r="B3" s="190" t="s">
        <v>18</v>
      </c>
      <c r="C3" s="160" t="s">
        <v>19</v>
      </c>
      <c r="D3" s="161" t="s">
        <v>151</v>
      </c>
      <c r="E3" s="162" t="s">
        <v>152</v>
      </c>
      <c r="F3" s="162" t="s">
        <v>153</v>
      </c>
      <c r="G3" s="163" t="s">
        <v>154</v>
      </c>
      <c r="H3" s="164" t="s">
        <v>155</v>
      </c>
      <c r="I3" s="162" t="s">
        <v>156</v>
      </c>
      <c r="J3" s="163" t="s">
        <v>157</v>
      </c>
    </row>
    <row r="4" spans="1:30">
      <c r="A4" s="252">
        <f>'Introducció consums'!A4</f>
        <v>1</v>
      </c>
      <c r="B4" s="253" t="s">
        <v>33</v>
      </c>
      <c r="C4" s="254" t="str">
        <f>'Introducció consums'!C4</f>
        <v>Equipament 1</v>
      </c>
      <c r="D4" s="148">
        <f>Taula2[[#This Row],[CONSUM TOTAL]]*'Introducció criteris'!$E$11</f>
        <v>400</v>
      </c>
      <c r="E4" s="149">
        <f>Taula3[[#This Row],[Producció]]/'Introducció criteris'!$E$21</f>
        <v>0.29629629629629628</v>
      </c>
      <c r="F4" s="150">
        <f>+Taula3[[#This Row],[Potència pic]]/'Introducció criteris'!$E$23</f>
        <v>1.4814814814814814</v>
      </c>
      <c r="G4" s="148">
        <f>IF(Taula3[[#This Row],[Tipus subministrament]]="Quadre EP",0,Taula3[[#This Row],[Producció]]*'Introducció criteris'!$G$11)</f>
        <v>320</v>
      </c>
      <c r="H4" s="148">
        <f>Taula3[[#This Row],[Producció]]-Taula3[[#This Row],[Autoconsum instantani]]-Taula3[[#This Row],[Abocament a xarxa sense compensar]]</f>
        <v>80</v>
      </c>
      <c r="I4" s="148">
        <f>Taula38[[#This Row],[Producció]]*'Introducció criteris'!$I$13</f>
        <v>0</v>
      </c>
      <c r="J4" s="151">
        <f>Taula2[[#This Row],[CONSUM TOTAL]]-Taula3[[#This Row],[Autoconsum instantani]]</f>
        <v>1680</v>
      </c>
    </row>
    <row r="5" spans="1:30">
      <c r="A5" s="255">
        <f>'Introducció consums'!A5</f>
        <v>2</v>
      </c>
      <c r="B5" s="256" t="s">
        <v>33</v>
      </c>
      <c r="C5" s="158" t="str">
        <f>'Introducció consums'!C5</f>
        <v>Equipament 2</v>
      </c>
      <c r="D5" s="117">
        <f>Taula2[[#This Row],[CONSUM TOTAL]]*'Introducció criteris'!$E$11</f>
        <v>420</v>
      </c>
      <c r="E5" s="10">
        <f>Taula3[[#This Row],[Producció]]/'Introducció criteris'!$E$21</f>
        <v>0.31111111111111112</v>
      </c>
      <c r="F5" s="35">
        <f>+Taula3[[#This Row],[Potència pic]]/'Introducció criteris'!$E$23</f>
        <v>1.5555555555555556</v>
      </c>
      <c r="G5" s="117">
        <f>IF(Taula3[[#This Row],[Tipus subministrament]]="Quadre EP",0,Taula3[[#This Row],[Producció]]*'Introducció criteris'!$G$11)</f>
        <v>336</v>
      </c>
      <c r="H5" s="117">
        <f>Taula3[[#This Row],[Producció]]-Taula3[[#This Row],[Autoconsum instantani]]-Taula3[[#This Row],[Abocament a xarxa sense compensar]]</f>
        <v>84</v>
      </c>
      <c r="I5" s="117">
        <f>Taula38[[#This Row],[Producció]]*'Introducció criteris'!$I$13</f>
        <v>0</v>
      </c>
      <c r="J5" s="118">
        <f>Taula2[[#This Row],[CONSUM TOTAL]]-Taula3[[#This Row],[Autoconsum instantani]]</f>
        <v>1764</v>
      </c>
    </row>
    <row r="6" spans="1:30">
      <c r="A6" s="255">
        <f>'Introducció consums'!A6</f>
        <v>3</v>
      </c>
      <c r="B6" s="256" t="s">
        <v>33</v>
      </c>
      <c r="C6" s="158" t="str">
        <f>'Introducció consums'!C6</f>
        <v>Equipament 3</v>
      </c>
      <c r="D6" s="117">
        <f>Taula2[[#This Row],[CONSUM TOTAL]]*'Introducció criteris'!$E$11</f>
        <v>440</v>
      </c>
      <c r="E6" s="10">
        <f>Taula3[[#This Row],[Producció]]/'Introducció criteris'!$E$21</f>
        <v>0.32592592592592595</v>
      </c>
      <c r="F6" s="35">
        <f>+Taula3[[#This Row],[Potència pic]]/'Introducció criteris'!$E$23</f>
        <v>1.6296296296296298</v>
      </c>
      <c r="G6" s="117">
        <f>IF(Taula3[[#This Row],[Tipus subministrament]]="Quadre EP",0,Taula3[[#This Row],[Producció]]*'Introducció criteris'!$G$11)</f>
        <v>352</v>
      </c>
      <c r="H6" s="117">
        <f>Taula3[[#This Row],[Producció]]-Taula3[[#This Row],[Autoconsum instantani]]-Taula3[[#This Row],[Abocament a xarxa sense compensar]]</f>
        <v>88</v>
      </c>
      <c r="I6" s="117">
        <f>Taula38[[#This Row],[Producció]]*'Introducció criteris'!$I$13</f>
        <v>0</v>
      </c>
      <c r="J6" s="118">
        <f>Taula2[[#This Row],[CONSUM TOTAL]]-Taula3[[#This Row],[Autoconsum instantani]]</f>
        <v>1848</v>
      </c>
    </row>
    <row r="7" spans="1:30">
      <c r="A7" s="255">
        <f>'Introducció consums'!A7</f>
        <v>4</v>
      </c>
      <c r="B7" s="256" t="s">
        <v>33</v>
      </c>
      <c r="C7" s="158" t="str">
        <f>'Introducció consums'!C7</f>
        <v>Equipament 4</v>
      </c>
      <c r="D7" s="117">
        <f>Taula2[[#This Row],[CONSUM TOTAL]]*'Introducció criteris'!$E$11</f>
        <v>460</v>
      </c>
      <c r="E7" s="10">
        <f>Taula3[[#This Row],[Producció]]/'Introducció criteris'!$E$21</f>
        <v>0.34074074074074073</v>
      </c>
      <c r="F7" s="35">
        <f>+Taula3[[#This Row],[Potència pic]]/'Introducció criteris'!$E$23</f>
        <v>1.7037037037037035</v>
      </c>
      <c r="G7" s="117">
        <f>IF(Taula3[[#This Row],[Tipus subministrament]]="Quadre EP",0,Taula3[[#This Row],[Producció]]*'Introducció criteris'!$G$11)</f>
        <v>368</v>
      </c>
      <c r="H7" s="117">
        <f>Taula3[[#This Row],[Producció]]-Taula3[[#This Row],[Autoconsum instantani]]-Taula3[[#This Row],[Abocament a xarxa sense compensar]]</f>
        <v>92</v>
      </c>
      <c r="I7" s="117">
        <f>Taula38[[#This Row],[Producció]]*'Introducció criteris'!$I$13</f>
        <v>0</v>
      </c>
      <c r="J7" s="118">
        <f>Taula2[[#This Row],[CONSUM TOTAL]]-Taula3[[#This Row],[Autoconsum instantani]]</f>
        <v>1932</v>
      </c>
    </row>
    <row r="8" spans="1:30">
      <c r="A8" s="255">
        <f>'Introducció consums'!A8</f>
        <v>5</v>
      </c>
      <c r="B8" s="256" t="s">
        <v>33</v>
      </c>
      <c r="C8" s="158" t="str">
        <f>'Introducció consums'!C8</f>
        <v>Equipament 5</v>
      </c>
      <c r="D8" s="117">
        <f>Taula2[[#This Row],[CONSUM TOTAL]]*'Introducció criteris'!$E$11</f>
        <v>480</v>
      </c>
      <c r="E8" s="10">
        <f>Taula3[[#This Row],[Producció]]/'Introducció criteris'!$E$21</f>
        <v>0.35555555555555557</v>
      </c>
      <c r="F8" s="35">
        <f>+Taula3[[#This Row],[Potència pic]]/'Introducció criteris'!$E$23</f>
        <v>1.7777777777777777</v>
      </c>
      <c r="G8" s="117">
        <f>IF(Taula3[[#This Row],[Tipus subministrament]]="Quadre EP",0,Taula3[[#This Row],[Producció]]*'Introducció criteris'!$G$11)</f>
        <v>384</v>
      </c>
      <c r="H8" s="117">
        <f>Taula3[[#This Row],[Producció]]-Taula3[[#This Row],[Autoconsum instantani]]-Taula3[[#This Row],[Abocament a xarxa sense compensar]]</f>
        <v>96</v>
      </c>
      <c r="I8" s="117">
        <f>Taula38[[#This Row],[Producció]]*'Introducció criteris'!$I$13</f>
        <v>0</v>
      </c>
      <c r="J8" s="118">
        <f>Taula2[[#This Row],[CONSUM TOTAL]]-Taula3[[#This Row],[Autoconsum instantani]]</f>
        <v>2016</v>
      </c>
    </row>
    <row r="9" spans="1:30">
      <c r="A9" s="255">
        <f>'Introducció consums'!A9</f>
        <v>6</v>
      </c>
      <c r="B9" s="256" t="s">
        <v>33</v>
      </c>
      <c r="C9" s="158" t="str">
        <f>'Introducció consums'!C9</f>
        <v>Equipament 6</v>
      </c>
      <c r="D9" s="117">
        <f>Taula2[[#This Row],[CONSUM TOTAL]]*'Introducció criteris'!$E$11</f>
        <v>500</v>
      </c>
      <c r="E9" s="10">
        <f>Taula3[[#This Row],[Producció]]/'Introducció criteris'!$E$21</f>
        <v>0.37037037037037035</v>
      </c>
      <c r="F9" s="35">
        <f>+Taula3[[#This Row],[Potència pic]]/'Introducció criteris'!$E$23</f>
        <v>1.8518518518518516</v>
      </c>
      <c r="G9" s="117">
        <f>IF(Taula3[[#This Row],[Tipus subministrament]]="Quadre EP",0,Taula3[[#This Row],[Producció]]*'Introducció criteris'!$G$11)</f>
        <v>400</v>
      </c>
      <c r="H9" s="117">
        <f>Taula3[[#This Row],[Producció]]-Taula3[[#This Row],[Autoconsum instantani]]-Taula3[[#This Row],[Abocament a xarxa sense compensar]]</f>
        <v>100</v>
      </c>
      <c r="I9" s="117">
        <f>Taula38[[#This Row],[Producció]]*'Introducció criteris'!$I$13</f>
        <v>0</v>
      </c>
      <c r="J9" s="118">
        <f>Taula2[[#This Row],[CONSUM TOTAL]]-Taula3[[#This Row],[Autoconsum instantani]]</f>
        <v>2100</v>
      </c>
    </row>
    <row r="10" spans="1:30">
      <c r="A10" s="255">
        <f>'Introducció consums'!A10</f>
        <v>7</v>
      </c>
      <c r="B10" s="256" t="s">
        <v>33</v>
      </c>
      <c r="C10" s="158" t="str">
        <f>'Introducció consums'!C10</f>
        <v>Equipament 7</v>
      </c>
      <c r="D10" s="117">
        <f>Taula2[[#This Row],[CONSUM TOTAL]]*'Introducció criteris'!$E$11</f>
        <v>520</v>
      </c>
      <c r="E10" s="10">
        <f>Taula3[[#This Row],[Producció]]/'Introducció criteris'!$E$21</f>
        <v>0.38518518518518519</v>
      </c>
      <c r="F10" s="35">
        <f>+Taula3[[#This Row],[Potència pic]]/'Introducció criteris'!$E$23</f>
        <v>1.9259259259259258</v>
      </c>
      <c r="G10" s="117">
        <f>IF(Taula3[[#This Row],[Tipus subministrament]]="Quadre EP",0,Taula3[[#This Row],[Producció]]*'Introducció criteris'!$G$11)</f>
        <v>416</v>
      </c>
      <c r="H10" s="117">
        <f>Taula3[[#This Row],[Producció]]-Taula3[[#This Row],[Autoconsum instantani]]-Taula3[[#This Row],[Abocament a xarxa sense compensar]]</f>
        <v>104</v>
      </c>
      <c r="I10" s="117">
        <f>Taula38[[#This Row],[Producció]]*'Introducció criteris'!$I$13</f>
        <v>0</v>
      </c>
      <c r="J10" s="118">
        <f>Taula2[[#This Row],[CONSUM TOTAL]]-Taula3[[#This Row],[Autoconsum instantani]]</f>
        <v>2184</v>
      </c>
    </row>
    <row r="11" spans="1:30">
      <c r="A11" s="255">
        <f>'Introducció consums'!A11</f>
        <v>8</v>
      </c>
      <c r="B11" s="256" t="s">
        <v>33</v>
      </c>
      <c r="C11" s="158" t="str">
        <f>'Introducció consums'!C11</f>
        <v>Equipament 8</v>
      </c>
      <c r="D11" s="117">
        <f>Taula2[[#This Row],[CONSUM TOTAL]]*'Introducció criteris'!$E$11</f>
        <v>540</v>
      </c>
      <c r="E11" s="10">
        <f>Taula3[[#This Row],[Producció]]/'Introducció criteris'!$E$21</f>
        <v>0.4</v>
      </c>
      <c r="F11" s="35">
        <f>+Taula3[[#This Row],[Potència pic]]/'Introducció criteris'!$E$23</f>
        <v>2</v>
      </c>
      <c r="G11" s="117">
        <f>IF(Taula3[[#This Row],[Tipus subministrament]]="Quadre EP",0,Taula3[[#This Row],[Producció]]*'Introducció criteris'!$G$11)</f>
        <v>432</v>
      </c>
      <c r="H11" s="117">
        <f>Taula3[[#This Row],[Producció]]-Taula3[[#This Row],[Autoconsum instantani]]-Taula3[[#This Row],[Abocament a xarxa sense compensar]]</f>
        <v>108</v>
      </c>
      <c r="I11" s="117">
        <f>Taula38[[#This Row],[Producció]]*'Introducció criteris'!$I$13</f>
        <v>0</v>
      </c>
      <c r="J11" s="118">
        <f>Taula2[[#This Row],[CONSUM TOTAL]]-Taula3[[#This Row],[Autoconsum instantani]]</f>
        <v>2268</v>
      </c>
    </row>
    <row r="12" spans="1:30">
      <c r="A12" s="255">
        <f>'Introducció consums'!A12</f>
        <v>9</v>
      </c>
      <c r="B12" s="256" t="s">
        <v>33</v>
      </c>
      <c r="C12" s="158" t="str">
        <f>'Introducció consums'!C12</f>
        <v>Equipament 9</v>
      </c>
      <c r="D12" s="117">
        <f>Taula2[[#This Row],[CONSUM TOTAL]]*'Introducció criteris'!$E$11</f>
        <v>560</v>
      </c>
      <c r="E12" s="10">
        <f>Taula3[[#This Row],[Producció]]/'Introducció criteris'!$E$21</f>
        <v>0.4148148148148148</v>
      </c>
      <c r="F12" s="35">
        <f>+Taula3[[#This Row],[Potència pic]]/'Introducció criteris'!$E$23</f>
        <v>2.074074074074074</v>
      </c>
      <c r="G12" s="117">
        <f>IF(Taula3[[#This Row],[Tipus subministrament]]="Quadre EP",0,Taula3[[#This Row],[Producció]]*'Introducció criteris'!$G$11)</f>
        <v>448</v>
      </c>
      <c r="H12" s="117">
        <f>Taula3[[#This Row],[Producció]]-Taula3[[#This Row],[Autoconsum instantani]]-Taula3[[#This Row],[Abocament a xarxa sense compensar]]</f>
        <v>112</v>
      </c>
      <c r="I12" s="117">
        <f>Taula38[[#This Row],[Producció]]*'Introducció criteris'!$I$13</f>
        <v>0</v>
      </c>
      <c r="J12" s="118">
        <f>Taula2[[#This Row],[CONSUM TOTAL]]-Taula3[[#This Row],[Autoconsum instantani]]</f>
        <v>2352</v>
      </c>
    </row>
    <row r="13" spans="1:30">
      <c r="A13" s="255">
        <f>'Introducció consums'!A13</f>
        <v>10</v>
      </c>
      <c r="B13" s="256" t="s">
        <v>33</v>
      </c>
      <c r="C13" s="158" t="str">
        <f>'Introducció consums'!C13</f>
        <v>Equipament 10</v>
      </c>
      <c r="D13" s="117">
        <f>Taula2[[#This Row],[CONSUM TOTAL]]*'Introducció criteris'!$E$11</f>
        <v>580</v>
      </c>
      <c r="E13" s="10">
        <f>Taula3[[#This Row],[Producció]]/'Introducció criteris'!$E$21</f>
        <v>0.42962962962962964</v>
      </c>
      <c r="F13" s="35">
        <f>+Taula3[[#This Row],[Potència pic]]/'Introducció criteris'!$E$23</f>
        <v>2.1481481481481479</v>
      </c>
      <c r="G13" s="117">
        <f>IF(Taula3[[#This Row],[Tipus subministrament]]="Quadre EP",0,Taula3[[#This Row],[Producció]]*'Introducció criteris'!$G$11)</f>
        <v>464</v>
      </c>
      <c r="H13" s="117">
        <f>Taula3[[#This Row],[Producció]]-Taula3[[#This Row],[Autoconsum instantani]]-Taula3[[#This Row],[Abocament a xarxa sense compensar]]</f>
        <v>116</v>
      </c>
      <c r="I13" s="117">
        <f>Taula38[[#This Row],[Producció]]*'Introducció criteris'!$I$13</f>
        <v>0</v>
      </c>
      <c r="J13" s="118">
        <f>Taula2[[#This Row],[CONSUM TOTAL]]-Taula3[[#This Row],[Autoconsum instantani]]</f>
        <v>2436</v>
      </c>
    </row>
    <row r="14" spans="1:30">
      <c r="A14" s="255">
        <f>'Introducció consums'!A14</f>
        <v>11</v>
      </c>
      <c r="B14" s="256" t="s">
        <v>33</v>
      </c>
      <c r="C14" s="158" t="str">
        <f>'Introducció consums'!C14</f>
        <v>Equipament 11</v>
      </c>
      <c r="D14" s="117">
        <f>Taula2[[#This Row],[CONSUM TOTAL]]*'Introducció criteris'!$E$11</f>
        <v>600</v>
      </c>
      <c r="E14" s="10">
        <f>Taula3[[#This Row],[Producció]]/'Introducció criteris'!$E$21</f>
        <v>0.44444444444444442</v>
      </c>
      <c r="F14" s="35">
        <f>+Taula3[[#This Row],[Potència pic]]/'Introducció criteris'!$E$23</f>
        <v>2.2222222222222219</v>
      </c>
      <c r="G14" s="117">
        <f>IF(Taula3[[#This Row],[Tipus subministrament]]="Quadre EP",0,Taula3[[#This Row],[Producció]]*'Introducció criteris'!$G$11)</f>
        <v>480</v>
      </c>
      <c r="H14" s="117">
        <f>Taula3[[#This Row],[Producció]]-Taula3[[#This Row],[Autoconsum instantani]]-Taula3[[#This Row],[Abocament a xarxa sense compensar]]</f>
        <v>120</v>
      </c>
      <c r="I14" s="117">
        <f>Taula38[[#This Row],[Producció]]*'Introducció criteris'!$I$13</f>
        <v>0</v>
      </c>
      <c r="J14" s="118">
        <f>Taula2[[#This Row],[CONSUM TOTAL]]-Taula3[[#This Row],[Autoconsum instantani]]</f>
        <v>2520</v>
      </c>
    </row>
    <row r="15" spans="1:30">
      <c r="A15" s="255">
        <f>'Introducció consums'!A15</f>
        <v>12</v>
      </c>
      <c r="B15" s="256" t="s">
        <v>33</v>
      </c>
      <c r="C15" s="158" t="str">
        <f>'Introducció consums'!C15</f>
        <v>Equipament 12</v>
      </c>
      <c r="D15" s="117">
        <f>Taula2[[#This Row],[CONSUM TOTAL]]*'Introducció criteris'!$E$11</f>
        <v>620</v>
      </c>
      <c r="E15" s="10">
        <f>Taula3[[#This Row],[Producció]]/'Introducció criteris'!$E$21</f>
        <v>0.45925925925925926</v>
      </c>
      <c r="F15" s="35">
        <f>+Taula3[[#This Row],[Potència pic]]/'Introducció criteris'!$E$23</f>
        <v>2.2962962962962963</v>
      </c>
      <c r="G15" s="117">
        <f>IF(Taula3[[#This Row],[Tipus subministrament]]="Quadre EP",0,Taula3[[#This Row],[Producció]]*'Introducció criteris'!$G$11)</f>
        <v>496</v>
      </c>
      <c r="H15" s="117">
        <f>Taula3[[#This Row],[Producció]]-Taula3[[#This Row],[Autoconsum instantani]]-Taula3[[#This Row],[Abocament a xarxa sense compensar]]</f>
        <v>124</v>
      </c>
      <c r="I15" s="117">
        <f>Taula38[[#This Row],[Producció]]*'Introducció criteris'!$I$13</f>
        <v>0</v>
      </c>
      <c r="J15" s="118">
        <f>Taula2[[#This Row],[CONSUM TOTAL]]-Taula3[[#This Row],[Autoconsum instantani]]</f>
        <v>2604</v>
      </c>
    </row>
    <row r="16" spans="1:30">
      <c r="A16" s="255">
        <f>'Introducció consums'!A16</f>
        <v>13</v>
      </c>
      <c r="B16" s="256" t="s">
        <v>33</v>
      </c>
      <c r="C16" s="158" t="str">
        <f>'Introducció consums'!C16</f>
        <v>Equipament 13</v>
      </c>
      <c r="D16" s="117">
        <f>Taula2[[#This Row],[CONSUM TOTAL]]*'Introducció criteris'!$E$11</f>
        <v>640</v>
      </c>
      <c r="E16" s="10">
        <f>Taula3[[#This Row],[Producció]]/'Introducció criteris'!$E$21</f>
        <v>0.47407407407407409</v>
      </c>
      <c r="F16" s="35">
        <f>+Taula3[[#This Row],[Potència pic]]/'Introducció criteris'!$E$23</f>
        <v>2.3703703703703702</v>
      </c>
      <c r="G16" s="117">
        <f>IF(Taula3[[#This Row],[Tipus subministrament]]="Quadre EP",0,Taula3[[#This Row],[Producció]]*'Introducció criteris'!$G$11)</f>
        <v>512</v>
      </c>
      <c r="H16" s="117">
        <f>Taula3[[#This Row],[Producció]]-Taula3[[#This Row],[Autoconsum instantani]]-Taula3[[#This Row],[Abocament a xarxa sense compensar]]</f>
        <v>128</v>
      </c>
      <c r="I16" s="117">
        <f>Taula38[[#This Row],[Producció]]*'Introducció criteris'!$I$13</f>
        <v>0</v>
      </c>
      <c r="J16" s="118">
        <f>Taula2[[#This Row],[CONSUM TOTAL]]-Taula3[[#This Row],[Autoconsum instantani]]</f>
        <v>2688</v>
      </c>
    </row>
    <row r="17" spans="1:10">
      <c r="A17" s="255">
        <f>'Introducció consums'!A17</f>
        <v>14</v>
      </c>
      <c r="B17" s="256" t="s">
        <v>33</v>
      </c>
      <c r="C17" s="158" t="str">
        <f>'Introducció consums'!C17</f>
        <v>Equipament 14</v>
      </c>
      <c r="D17" s="117">
        <f>Taula2[[#This Row],[CONSUM TOTAL]]*'Introducció criteris'!$E$11</f>
        <v>660</v>
      </c>
      <c r="E17" s="10">
        <f>Taula3[[#This Row],[Producció]]/'Introducció criteris'!$E$21</f>
        <v>0.48888888888888887</v>
      </c>
      <c r="F17" s="35">
        <f>+Taula3[[#This Row],[Potència pic]]/'Introducció criteris'!$E$23</f>
        <v>2.4444444444444442</v>
      </c>
      <c r="G17" s="117">
        <f>IF(Taula3[[#This Row],[Tipus subministrament]]="Quadre EP",0,Taula3[[#This Row],[Producció]]*'Introducció criteris'!$G$11)</f>
        <v>528</v>
      </c>
      <c r="H17" s="117">
        <f>Taula3[[#This Row],[Producció]]-Taula3[[#This Row],[Autoconsum instantani]]-Taula3[[#This Row],[Abocament a xarxa sense compensar]]</f>
        <v>132</v>
      </c>
      <c r="I17" s="117">
        <f>Taula38[[#This Row],[Producció]]*'Introducció criteris'!$I$13</f>
        <v>0</v>
      </c>
      <c r="J17" s="118">
        <f>Taula2[[#This Row],[CONSUM TOTAL]]-Taula3[[#This Row],[Autoconsum instantani]]</f>
        <v>2772</v>
      </c>
    </row>
    <row r="18" spans="1:10">
      <c r="A18" s="255">
        <f>'Introducció consums'!A18</f>
        <v>15</v>
      </c>
      <c r="B18" s="256" t="s">
        <v>33</v>
      </c>
      <c r="C18" s="158" t="str">
        <f>'Introducció consums'!C18</f>
        <v>Equipament 15</v>
      </c>
      <c r="D18" s="117">
        <f>Taula2[[#This Row],[CONSUM TOTAL]]*'Introducció criteris'!$E$11</f>
        <v>680</v>
      </c>
      <c r="E18" s="10">
        <f>Taula3[[#This Row],[Producció]]/'Introducció criteris'!$E$21</f>
        <v>0.50370370370370365</v>
      </c>
      <c r="F18" s="35">
        <f>+Taula3[[#This Row],[Potència pic]]/'Introducció criteris'!$E$23</f>
        <v>2.5185185185185182</v>
      </c>
      <c r="G18" s="117">
        <f>IF(Taula3[[#This Row],[Tipus subministrament]]="Quadre EP",0,Taula3[[#This Row],[Producció]]*'Introducció criteris'!$G$11)</f>
        <v>544</v>
      </c>
      <c r="H18" s="117">
        <f>Taula3[[#This Row],[Producció]]-Taula3[[#This Row],[Autoconsum instantani]]-Taula3[[#This Row],[Abocament a xarxa sense compensar]]</f>
        <v>136</v>
      </c>
      <c r="I18" s="117">
        <f>Taula38[[#This Row],[Producció]]*'Introducció criteris'!$I$13</f>
        <v>0</v>
      </c>
      <c r="J18" s="118">
        <f>Taula2[[#This Row],[CONSUM TOTAL]]-Taula3[[#This Row],[Autoconsum instantani]]</f>
        <v>2856</v>
      </c>
    </row>
    <row r="19" spans="1:10">
      <c r="A19" s="255">
        <f>'Introducció consums'!A19</f>
        <v>16</v>
      </c>
      <c r="B19" s="256" t="s">
        <v>66</v>
      </c>
      <c r="C19" s="158" t="str">
        <f>'Introducció consums'!C19</f>
        <v>Quadre EP 16</v>
      </c>
      <c r="D19" s="117">
        <f>Taula2[[#This Row],[CONSUM TOTAL]]*'Introducció criteris'!$E$11</f>
        <v>340</v>
      </c>
      <c r="E19" s="10">
        <f>Taula3[[#This Row],[Producció]]/'Introducció criteris'!$E$21</f>
        <v>0.25185185185185183</v>
      </c>
      <c r="F19" s="35">
        <f>+Taula3[[#This Row],[Potència pic]]/'Introducció criteris'!$E$23</f>
        <v>1.2592592592592591</v>
      </c>
      <c r="G19" s="117">
        <f>IF(Taula3[[#This Row],[Tipus subministrament]]="Quadre EP",0,Taula3[[#This Row],[Producció]]*'Introducció criteris'!$G$11)</f>
        <v>0</v>
      </c>
      <c r="H19" s="117">
        <f>Taula3[[#This Row],[Producció]]-Taula3[[#This Row],[Autoconsum instantani]]-Taula3[[#This Row],[Abocament a xarxa sense compensar]]</f>
        <v>340</v>
      </c>
      <c r="I19" s="117">
        <f>Taula38[[#This Row],[Producció]]*'Introducció criteris'!$I$13</f>
        <v>0</v>
      </c>
      <c r="J19" s="118">
        <f>Taula2[[#This Row],[CONSUM TOTAL]]-Taula3[[#This Row],[Autoconsum instantani]]</f>
        <v>1700</v>
      </c>
    </row>
    <row r="20" spans="1:10">
      <c r="A20" s="255">
        <f>'Introducció consums'!A20</f>
        <v>17</v>
      </c>
      <c r="B20" s="256" t="s">
        <v>66</v>
      </c>
      <c r="C20" s="158" t="str">
        <f>'Introducció consums'!C20</f>
        <v>Quadre EP 17</v>
      </c>
      <c r="D20" s="117">
        <f>Taula2[[#This Row],[CONSUM TOTAL]]*'Introducció criteris'!$E$11</f>
        <v>344</v>
      </c>
      <c r="E20" s="10">
        <f>Taula3[[#This Row],[Producció]]/'Introducció criteris'!$E$21</f>
        <v>0.25481481481481483</v>
      </c>
      <c r="F20" s="35">
        <f>+Taula3[[#This Row],[Potència pic]]/'Introducció criteris'!$E$23</f>
        <v>1.2740740740740741</v>
      </c>
      <c r="G20" s="117">
        <f>IF(Taula3[[#This Row],[Tipus subministrament]]="Quadre EP",0,Taula3[[#This Row],[Producció]]*'Introducció criteris'!$G$11)</f>
        <v>0</v>
      </c>
      <c r="H20" s="117">
        <f>Taula3[[#This Row],[Producció]]-Taula3[[#This Row],[Autoconsum instantani]]-Taula3[[#This Row],[Abocament a xarxa sense compensar]]</f>
        <v>344</v>
      </c>
      <c r="I20" s="117">
        <f>Taula38[[#This Row],[Producció]]*'Introducció criteris'!$I$13</f>
        <v>0</v>
      </c>
      <c r="J20" s="118">
        <f>Taula2[[#This Row],[CONSUM TOTAL]]-Taula3[[#This Row],[Autoconsum instantani]]</f>
        <v>1720</v>
      </c>
    </row>
    <row r="21" spans="1:10">
      <c r="A21" s="255">
        <f>'Introducció consums'!A21</f>
        <v>18</v>
      </c>
      <c r="B21" s="256" t="s">
        <v>66</v>
      </c>
      <c r="C21" s="158" t="str">
        <f>'Introducció consums'!C21</f>
        <v>Quadre EP 18</v>
      </c>
      <c r="D21" s="117">
        <f>Taula2[[#This Row],[CONSUM TOTAL]]*'Introducció criteris'!$E$11</f>
        <v>348</v>
      </c>
      <c r="E21" s="10">
        <f>Taula3[[#This Row],[Producció]]/'Introducció criteris'!$E$21</f>
        <v>0.25777777777777777</v>
      </c>
      <c r="F21" s="35">
        <f>+Taula3[[#This Row],[Potència pic]]/'Introducció criteris'!$E$23</f>
        <v>1.2888888888888888</v>
      </c>
      <c r="G21" s="117">
        <f>IF(Taula3[[#This Row],[Tipus subministrament]]="Quadre EP",0,Taula3[[#This Row],[Producció]]*'Introducció criteris'!$G$11)</f>
        <v>0</v>
      </c>
      <c r="H21" s="117">
        <f>Taula3[[#This Row],[Producció]]-Taula3[[#This Row],[Autoconsum instantani]]-Taula3[[#This Row],[Abocament a xarxa sense compensar]]</f>
        <v>348</v>
      </c>
      <c r="I21" s="117">
        <f>Taula38[[#This Row],[Producció]]*'Introducció criteris'!$I$13</f>
        <v>0</v>
      </c>
      <c r="J21" s="118">
        <f>Taula2[[#This Row],[CONSUM TOTAL]]-Taula3[[#This Row],[Autoconsum instantani]]</f>
        <v>1740</v>
      </c>
    </row>
    <row r="22" spans="1:10">
      <c r="A22" s="255">
        <f>'Introducció consums'!A22</f>
        <v>19</v>
      </c>
      <c r="B22" s="256" t="s">
        <v>66</v>
      </c>
      <c r="C22" s="158" t="str">
        <f>'Introducció consums'!C22</f>
        <v>Quadre EP 19</v>
      </c>
      <c r="D22" s="117">
        <f>Taula2[[#This Row],[CONSUM TOTAL]]*'Introducció criteris'!$E$11</f>
        <v>352</v>
      </c>
      <c r="E22" s="10">
        <f>Taula3[[#This Row],[Producció]]/'Introducció criteris'!$E$21</f>
        <v>0.26074074074074072</v>
      </c>
      <c r="F22" s="35">
        <f>+Taula3[[#This Row],[Potència pic]]/'Introducció criteris'!$E$23</f>
        <v>1.3037037037037036</v>
      </c>
      <c r="G22" s="117">
        <f>IF(Taula3[[#This Row],[Tipus subministrament]]="Quadre EP",0,Taula3[[#This Row],[Producció]]*'Introducció criteris'!$G$11)</f>
        <v>0</v>
      </c>
      <c r="H22" s="117">
        <f>Taula3[[#This Row],[Producció]]-Taula3[[#This Row],[Autoconsum instantani]]-Taula3[[#This Row],[Abocament a xarxa sense compensar]]</f>
        <v>352</v>
      </c>
      <c r="I22" s="117">
        <f>Taula38[[#This Row],[Producció]]*'Introducció criteris'!$I$13</f>
        <v>0</v>
      </c>
      <c r="J22" s="118">
        <f>Taula2[[#This Row],[CONSUM TOTAL]]-Taula3[[#This Row],[Autoconsum instantani]]</f>
        <v>1760</v>
      </c>
    </row>
    <row r="23" spans="1:10">
      <c r="A23" s="255">
        <f>'Introducció consums'!A23</f>
        <v>20</v>
      </c>
      <c r="B23" s="256" t="s">
        <v>66</v>
      </c>
      <c r="C23" s="158" t="str">
        <f>'Introducció consums'!C23</f>
        <v>Quadre EP 20</v>
      </c>
      <c r="D23" s="117">
        <f>Taula2[[#This Row],[CONSUM TOTAL]]*'Introducció criteris'!$E$11</f>
        <v>356</v>
      </c>
      <c r="E23" s="10">
        <f>Taula3[[#This Row],[Producció]]/'Introducció criteris'!$E$21</f>
        <v>0.26370370370370372</v>
      </c>
      <c r="F23" s="35">
        <f>+Taula3[[#This Row],[Potència pic]]/'Introducció criteris'!$E$23</f>
        <v>1.3185185185185184</v>
      </c>
      <c r="G23" s="117">
        <f>IF(Taula3[[#This Row],[Tipus subministrament]]="Quadre EP",0,Taula3[[#This Row],[Producció]]*'Introducció criteris'!$G$11)</f>
        <v>0</v>
      </c>
      <c r="H23" s="117">
        <f>Taula3[[#This Row],[Producció]]-Taula3[[#This Row],[Autoconsum instantani]]-Taula3[[#This Row],[Abocament a xarxa sense compensar]]</f>
        <v>356</v>
      </c>
      <c r="I23" s="117">
        <f>Taula38[[#This Row],[Producció]]*'Introducció criteris'!$I$13</f>
        <v>0</v>
      </c>
      <c r="J23" s="118">
        <f>Taula2[[#This Row],[CONSUM TOTAL]]-Taula3[[#This Row],[Autoconsum instantani]]</f>
        <v>1780</v>
      </c>
    </row>
    <row r="24" spans="1:10">
      <c r="A24" s="255">
        <f>'Introducció consums'!A24</f>
        <v>21</v>
      </c>
      <c r="B24" s="256" t="s">
        <v>66</v>
      </c>
      <c r="C24" s="158" t="str">
        <f>'Introducció consums'!C24</f>
        <v>Quadre EP 21</v>
      </c>
      <c r="D24" s="117">
        <f>Taula2[[#This Row],[CONSUM TOTAL]]*'Introducció criteris'!$E$11</f>
        <v>360</v>
      </c>
      <c r="E24" s="10">
        <f>Taula3[[#This Row],[Producció]]/'Introducció criteris'!$E$21</f>
        <v>0.26666666666666666</v>
      </c>
      <c r="F24" s="35">
        <f>+Taula3[[#This Row],[Potència pic]]/'Introducció criteris'!$E$23</f>
        <v>1.3333333333333333</v>
      </c>
      <c r="G24" s="117">
        <f>IF(Taula3[[#This Row],[Tipus subministrament]]="Quadre EP",0,Taula3[[#This Row],[Producció]]*'Introducció criteris'!$G$11)</f>
        <v>0</v>
      </c>
      <c r="H24" s="117">
        <f>Taula3[[#This Row],[Producció]]-Taula3[[#This Row],[Autoconsum instantani]]-Taula3[[#This Row],[Abocament a xarxa sense compensar]]</f>
        <v>360</v>
      </c>
      <c r="I24" s="117">
        <f>Taula38[[#This Row],[Producció]]*'Introducció criteris'!$I$13</f>
        <v>0</v>
      </c>
      <c r="J24" s="118">
        <f>Taula2[[#This Row],[CONSUM TOTAL]]-Taula3[[#This Row],[Autoconsum instantani]]</f>
        <v>1800</v>
      </c>
    </row>
    <row r="25" spans="1:10">
      <c r="A25" s="255">
        <f>'Introducció consums'!A25</f>
        <v>22</v>
      </c>
      <c r="B25" s="256" t="s">
        <v>66</v>
      </c>
      <c r="C25" s="158" t="str">
        <f>'Introducció consums'!C25</f>
        <v>Quadre EP 22</v>
      </c>
      <c r="D25" s="117">
        <f>Taula2[[#This Row],[CONSUM TOTAL]]*'Introducció criteris'!$E$11</f>
        <v>364</v>
      </c>
      <c r="E25" s="10">
        <f>Taula3[[#This Row],[Producció]]/'Introducció criteris'!$E$21</f>
        <v>0.26962962962962961</v>
      </c>
      <c r="F25" s="35">
        <f>+Taula3[[#This Row],[Potència pic]]/'Introducció criteris'!$E$23</f>
        <v>1.3481481481481479</v>
      </c>
      <c r="G25" s="117">
        <f>IF(Taula3[[#This Row],[Tipus subministrament]]="Quadre EP",0,Taula3[[#This Row],[Producció]]*'Introducció criteris'!$G$11)</f>
        <v>0</v>
      </c>
      <c r="H25" s="117">
        <f>Taula3[[#This Row],[Producció]]-Taula3[[#This Row],[Autoconsum instantani]]-Taula3[[#This Row],[Abocament a xarxa sense compensar]]</f>
        <v>364</v>
      </c>
      <c r="I25" s="117">
        <f>Taula38[[#This Row],[Producció]]*'Introducció criteris'!$I$13</f>
        <v>0</v>
      </c>
      <c r="J25" s="118">
        <f>Taula2[[#This Row],[CONSUM TOTAL]]-Taula3[[#This Row],[Autoconsum instantani]]</f>
        <v>1820</v>
      </c>
    </row>
    <row r="26" spans="1:10">
      <c r="A26" s="255">
        <f>'Introducció consums'!A26</f>
        <v>23</v>
      </c>
      <c r="B26" s="256" t="s">
        <v>66</v>
      </c>
      <c r="C26" s="158" t="str">
        <f>'Introducció consums'!C26</f>
        <v>Quadre EP 23</v>
      </c>
      <c r="D26" s="117">
        <f>Taula2[[#This Row],[CONSUM TOTAL]]*'Introducció criteris'!$E$11</f>
        <v>368</v>
      </c>
      <c r="E26" s="10">
        <f>Taula3[[#This Row],[Producció]]/'Introducció criteris'!$E$21</f>
        <v>0.27259259259259261</v>
      </c>
      <c r="F26" s="35">
        <f>+Taula3[[#This Row],[Potència pic]]/'Introducció criteris'!$E$23</f>
        <v>1.3629629629629629</v>
      </c>
      <c r="G26" s="117">
        <f>IF(Taula3[[#This Row],[Tipus subministrament]]="Quadre EP",0,Taula3[[#This Row],[Producció]]*'Introducció criteris'!$G$11)</f>
        <v>0</v>
      </c>
      <c r="H26" s="117">
        <f>Taula3[[#This Row],[Producció]]-Taula3[[#This Row],[Autoconsum instantani]]-Taula3[[#This Row],[Abocament a xarxa sense compensar]]</f>
        <v>368</v>
      </c>
      <c r="I26" s="117">
        <f>Taula38[[#This Row],[Producció]]*'Introducció criteris'!$I$13</f>
        <v>0</v>
      </c>
      <c r="J26" s="118">
        <f>Taula2[[#This Row],[CONSUM TOTAL]]-Taula3[[#This Row],[Autoconsum instantani]]</f>
        <v>1840</v>
      </c>
    </row>
    <row r="27" spans="1:10">
      <c r="A27" s="255">
        <f>'Introducció consums'!A27</f>
        <v>24</v>
      </c>
      <c r="B27" s="256" t="s">
        <v>66</v>
      </c>
      <c r="C27" s="158" t="str">
        <f>'Introducció consums'!C27</f>
        <v>Quadre EP 24</v>
      </c>
      <c r="D27" s="117">
        <f>Taula2[[#This Row],[CONSUM TOTAL]]*'Introducció criteris'!$E$11</f>
        <v>372</v>
      </c>
      <c r="E27" s="10">
        <f>Taula3[[#This Row],[Producció]]/'Introducció criteris'!$E$21</f>
        <v>0.27555555555555555</v>
      </c>
      <c r="F27" s="35">
        <f>+Taula3[[#This Row],[Potència pic]]/'Introducció criteris'!$E$23</f>
        <v>1.3777777777777778</v>
      </c>
      <c r="G27" s="117">
        <f>IF(Taula3[[#This Row],[Tipus subministrament]]="Quadre EP",0,Taula3[[#This Row],[Producció]]*'Introducció criteris'!$G$11)</f>
        <v>0</v>
      </c>
      <c r="H27" s="117">
        <f>Taula3[[#This Row],[Producció]]-Taula3[[#This Row],[Autoconsum instantani]]-Taula3[[#This Row],[Abocament a xarxa sense compensar]]</f>
        <v>372</v>
      </c>
      <c r="I27" s="117">
        <f>Taula38[[#This Row],[Producció]]*'Introducció criteris'!$I$13</f>
        <v>0</v>
      </c>
      <c r="J27" s="118">
        <f>Taula2[[#This Row],[CONSUM TOTAL]]-Taula3[[#This Row],[Autoconsum instantani]]</f>
        <v>1860</v>
      </c>
    </row>
    <row r="28" spans="1:10">
      <c r="A28" s="255">
        <f>'Introducció consums'!A28</f>
        <v>25</v>
      </c>
      <c r="B28" s="256" t="s">
        <v>66</v>
      </c>
      <c r="C28" s="158" t="str">
        <f>'Introducció consums'!C28</f>
        <v>Quadre EP 25</v>
      </c>
      <c r="D28" s="117">
        <f>Taula2[[#This Row],[CONSUM TOTAL]]*'Introducció criteris'!$E$11</f>
        <v>376</v>
      </c>
      <c r="E28" s="10">
        <f>Taula3[[#This Row],[Producció]]/'Introducció criteris'!$E$21</f>
        <v>0.2785185185185185</v>
      </c>
      <c r="F28" s="35">
        <f>+Taula3[[#This Row],[Potència pic]]/'Introducció criteris'!$E$23</f>
        <v>1.3925925925925924</v>
      </c>
      <c r="G28" s="117">
        <f>IF(Taula3[[#This Row],[Tipus subministrament]]="Quadre EP",0,Taula3[[#This Row],[Producció]]*'Introducció criteris'!$G$11)</f>
        <v>0</v>
      </c>
      <c r="H28" s="117">
        <f>Taula3[[#This Row],[Producció]]-Taula3[[#This Row],[Autoconsum instantani]]-Taula3[[#This Row],[Abocament a xarxa sense compensar]]</f>
        <v>376</v>
      </c>
      <c r="I28" s="117">
        <f>Taula38[[#This Row],[Producció]]*'Introducció criteris'!$I$13</f>
        <v>0</v>
      </c>
      <c r="J28" s="118">
        <f>Taula2[[#This Row],[CONSUM TOTAL]]-Taula3[[#This Row],[Autoconsum instantani]]</f>
        <v>1880</v>
      </c>
    </row>
    <row r="29" spans="1:10">
      <c r="A29" s="255">
        <f>'Introducció consums'!A29</f>
        <v>26</v>
      </c>
      <c r="B29" s="256" t="s">
        <v>66</v>
      </c>
      <c r="C29" s="158" t="str">
        <f>'Introducció consums'!C29</f>
        <v>Quadre EP 26</v>
      </c>
      <c r="D29" s="117">
        <f>Taula2[[#This Row],[CONSUM TOTAL]]*'Introducció criteris'!$E$11</f>
        <v>380</v>
      </c>
      <c r="E29" s="10">
        <f>Taula3[[#This Row],[Producció]]/'Introducció criteris'!$E$21</f>
        <v>0.2814814814814815</v>
      </c>
      <c r="F29" s="35">
        <f>+Taula3[[#This Row],[Potència pic]]/'Introducció criteris'!$E$23</f>
        <v>1.4074074074074074</v>
      </c>
      <c r="G29" s="117">
        <f>IF(Taula3[[#This Row],[Tipus subministrament]]="Quadre EP",0,Taula3[[#This Row],[Producció]]*'Introducció criteris'!$G$11)</f>
        <v>0</v>
      </c>
      <c r="H29" s="117">
        <f>Taula3[[#This Row],[Producció]]-Taula3[[#This Row],[Autoconsum instantani]]-Taula3[[#This Row],[Abocament a xarxa sense compensar]]</f>
        <v>380</v>
      </c>
      <c r="I29" s="117">
        <f>Taula38[[#This Row],[Producció]]*'Introducció criteris'!$I$13</f>
        <v>0</v>
      </c>
      <c r="J29" s="118">
        <f>Taula2[[#This Row],[CONSUM TOTAL]]-Taula3[[#This Row],[Autoconsum instantani]]</f>
        <v>1900</v>
      </c>
    </row>
    <row r="30" spans="1:10">
      <c r="A30" s="255">
        <f>'Introducció consums'!A30</f>
        <v>27</v>
      </c>
      <c r="B30" s="256" t="s">
        <v>66</v>
      </c>
      <c r="C30" s="158" t="str">
        <f>'Introducció consums'!C30</f>
        <v>Quadre EP 27</v>
      </c>
      <c r="D30" s="117">
        <f>Taula2[[#This Row],[CONSUM TOTAL]]*'Introducció criteris'!$E$11</f>
        <v>384</v>
      </c>
      <c r="E30" s="10">
        <f>Taula3[[#This Row],[Producció]]/'Introducció criteris'!$E$21</f>
        <v>0.28444444444444444</v>
      </c>
      <c r="F30" s="35">
        <f>+Taula3[[#This Row],[Potència pic]]/'Introducció criteris'!$E$23</f>
        <v>1.4222222222222221</v>
      </c>
      <c r="G30" s="117">
        <f>IF(Taula3[[#This Row],[Tipus subministrament]]="Quadre EP",0,Taula3[[#This Row],[Producció]]*'Introducció criteris'!$G$11)</f>
        <v>0</v>
      </c>
      <c r="H30" s="117">
        <f>Taula3[[#This Row],[Producció]]-Taula3[[#This Row],[Autoconsum instantani]]-Taula3[[#This Row],[Abocament a xarxa sense compensar]]</f>
        <v>384</v>
      </c>
      <c r="I30" s="117">
        <f>Taula38[[#This Row],[Producció]]*'Introducció criteris'!$I$13</f>
        <v>0</v>
      </c>
      <c r="J30" s="118">
        <f>Taula2[[#This Row],[CONSUM TOTAL]]-Taula3[[#This Row],[Autoconsum instantani]]</f>
        <v>1920</v>
      </c>
    </row>
    <row r="31" spans="1:10">
      <c r="A31" s="255">
        <f>'Introducció consums'!A31</f>
        <v>28</v>
      </c>
      <c r="B31" s="256" t="s">
        <v>66</v>
      </c>
      <c r="C31" s="158" t="str">
        <f>'Introducció consums'!C31</f>
        <v>Quadre EP 28</v>
      </c>
      <c r="D31" s="117">
        <f>Taula2[[#This Row],[CONSUM TOTAL]]*'Introducció criteris'!$E$11</f>
        <v>388</v>
      </c>
      <c r="E31" s="10">
        <f>Taula3[[#This Row],[Producció]]/'Introducció criteris'!$E$21</f>
        <v>0.28740740740740739</v>
      </c>
      <c r="F31" s="35">
        <f>+Taula3[[#This Row],[Potència pic]]/'Introducció criteris'!$E$23</f>
        <v>1.4370370370370369</v>
      </c>
      <c r="G31" s="117">
        <f>IF(Taula3[[#This Row],[Tipus subministrament]]="Quadre EP",0,Taula3[[#This Row],[Producció]]*'Introducció criteris'!$G$11)</f>
        <v>0</v>
      </c>
      <c r="H31" s="117">
        <f>Taula3[[#This Row],[Producció]]-Taula3[[#This Row],[Autoconsum instantani]]-Taula3[[#This Row],[Abocament a xarxa sense compensar]]</f>
        <v>388</v>
      </c>
      <c r="I31" s="117">
        <f>Taula38[[#This Row],[Producció]]*'Introducció criteris'!$I$13</f>
        <v>0</v>
      </c>
      <c r="J31" s="118">
        <f>Taula2[[#This Row],[CONSUM TOTAL]]-Taula3[[#This Row],[Autoconsum instantani]]</f>
        <v>1940</v>
      </c>
    </row>
    <row r="32" spans="1:10">
      <c r="A32" s="255">
        <f>'Introducció consums'!A32</f>
        <v>29</v>
      </c>
      <c r="B32" s="256" t="s">
        <v>66</v>
      </c>
      <c r="C32" s="158" t="str">
        <f>'Introducció consums'!C32</f>
        <v>Quadre EP 29</v>
      </c>
      <c r="D32" s="117">
        <f>Taula2[[#This Row],[CONSUM TOTAL]]*'Introducció criteris'!$E$11</f>
        <v>392</v>
      </c>
      <c r="E32" s="10">
        <f>Taula3[[#This Row],[Producció]]/'Introducció criteris'!$E$21</f>
        <v>0.29037037037037039</v>
      </c>
      <c r="F32" s="35">
        <f>+Taula3[[#This Row],[Potència pic]]/'Introducció criteris'!$E$23</f>
        <v>1.4518518518518519</v>
      </c>
      <c r="G32" s="117">
        <f>IF(Taula3[[#This Row],[Tipus subministrament]]="Quadre EP",0,Taula3[[#This Row],[Producció]]*'Introducció criteris'!$G$11)</f>
        <v>0</v>
      </c>
      <c r="H32" s="117">
        <f>Taula3[[#This Row],[Producció]]-Taula3[[#This Row],[Autoconsum instantani]]-Taula3[[#This Row],[Abocament a xarxa sense compensar]]</f>
        <v>392</v>
      </c>
      <c r="I32" s="117">
        <f>Taula38[[#This Row],[Producció]]*'Introducció criteris'!$I$13</f>
        <v>0</v>
      </c>
      <c r="J32" s="118">
        <f>Taula2[[#This Row],[CONSUM TOTAL]]-Taula3[[#This Row],[Autoconsum instantani]]</f>
        <v>1960</v>
      </c>
    </row>
    <row r="33" spans="1:10">
      <c r="A33" s="255">
        <f>'Introducció consums'!A33</f>
        <v>30</v>
      </c>
      <c r="B33" s="256" t="s">
        <v>66</v>
      </c>
      <c r="C33" s="158" t="str">
        <f>'Introducció consums'!C33</f>
        <v>Quadre EP 30</v>
      </c>
      <c r="D33" s="117">
        <f>Taula2[[#This Row],[CONSUM TOTAL]]*'Introducció criteris'!$E$11</f>
        <v>396</v>
      </c>
      <c r="E33" s="10">
        <f>Taula3[[#This Row],[Producció]]/'Introducció criteris'!$E$21</f>
        <v>0.29333333333333333</v>
      </c>
      <c r="F33" s="35">
        <f>+Taula3[[#This Row],[Potència pic]]/'Introducció criteris'!$E$23</f>
        <v>1.4666666666666666</v>
      </c>
      <c r="G33" s="117">
        <f>IF(Taula3[[#This Row],[Tipus subministrament]]="Quadre EP",0,Taula3[[#This Row],[Producció]]*'Introducció criteris'!$G$11)</f>
        <v>0</v>
      </c>
      <c r="H33" s="117">
        <f>Taula3[[#This Row],[Producció]]-Taula3[[#This Row],[Autoconsum instantani]]-Taula3[[#This Row],[Abocament a xarxa sense compensar]]</f>
        <v>396</v>
      </c>
      <c r="I33" s="117">
        <f>Taula38[[#This Row],[Producció]]*'Introducció criteris'!$I$13</f>
        <v>0</v>
      </c>
      <c r="J33" s="118">
        <f>Taula2[[#This Row],[CONSUM TOTAL]]-Taula3[[#This Row],[Autoconsum instantani]]</f>
        <v>1980</v>
      </c>
    </row>
    <row r="34" spans="1:10">
      <c r="A34" s="255">
        <f>'Introducció consums'!A34</f>
        <v>31</v>
      </c>
      <c r="B34" s="256" t="s">
        <v>66</v>
      </c>
      <c r="C34" s="158" t="str">
        <f>'Introducció consums'!C34</f>
        <v>Quadre EP 31</v>
      </c>
      <c r="D34" s="117">
        <f>Taula2[[#This Row],[CONSUM TOTAL]]*'Introducció criteris'!$E$11</f>
        <v>400</v>
      </c>
      <c r="E34" s="10">
        <f>Taula3[[#This Row],[Producció]]/'Introducció criteris'!$E$21</f>
        <v>0.29629629629629628</v>
      </c>
      <c r="F34" s="35">
        <f>+Taula3[[#This Row],[Potència pic]]/'Introducció criteris'!$E$23</f>
        <v>1.4814814814814814</v>
      </c>
      <c r="G34" s="117">
        <f>IF(Taula3[[#This Row],[Tipus subministrament]]="Quadre EP",0,Taula3[[#This Row],[Producció]]*'Introducció criteris'!$G$11)</f>
        <v>0</v>
      </c>
      <c r="H34" s="117">
        <f>Taula3[[#This Row],[Producció]]-Taula3[[#This Row],[Autoconsum instantani]]-Taula3[[#This Row],[Abocament a xarxa sense compensar]]</f>
        <v>400</v>
      </c>
      <c r="I34" s="117">
        <f>Taula38[[#This Row],[Producció]]*'Introducció criteris'!$I$13</f>
        <v>0</v>
      </c>
      <c r="J34" s="118">
        <f>Taula2[[#This Row],[CONSUM TOTAL]]-Taula3[[#This Row],[Autoconsum instantani]]</f>
        <v>2000</v>
      </c>
    </row>
    <row r="35" spans="1:10">
      <c r="A35" s="255">
        <f>'Introducció consums'!A35</f>
        <v>32</v>
      </c>
      <c r="B35" s="256" t="s">
        <v>66</v>
      </c>
      <c r="C35" s="158" t="str">
        <f>'Introducció consums'!C35</f>
        <v>Quadre EP 32</v>
      </c>
      <c r="D35" s="117">
        <f>Taula2[[#This Row],[CONSUM TOTAL]]*'Introducció criteris'!$E$11</f>
        <v>404</v>
      </c>
      <c r="E35" s="10">
        <f>Taula3[[#This Row],[Producció]]/'Introducció criteris'!$E$21</f>
        <v>0.29925925925925928</v>
      </c>
      <c r="F35" s="35">
        <f>+Taula3[[#This Row],[Potència pic]]/'Introducció criteris'!$E$23</f>
        <v>1.4962962962962962</v>
      </c>
      <c r="G35" s="117">
        <f>IF(Taula3[[#This Row],[Tipus subministrament]]="Quadre EP",0,Taula3[[#This Row],[Producció]]*'Introducció criteris'!$G$11)</f>
        <v>0</v>
      </c>
      <c r="H35" s="117">
        <f>Taula3[[#This Row],[Producció]]-Taula3[[#This Row],[Autoconsum instantani]]-Taula3[[#This Row],[Abocament a xarxa sense compensar]]</f>
        <v>404</v>
      </c>
      <c r="I35" s="117">
        <f>Taula38[[#This Row],[Producció]]*'Introducció criteris'!$I$13</f>
        <v>0</v>
      </c>
      <c r="J35" s="118">
        <f>Taula2[[#This Row],[CONSUM TOTAL]]-Taula3[[#This Row],[Autoconsum instantani]]</f>
        <v>2020</v>
      </c>
    </row>
    <row r="36" spans="1:10">
      <c r="A36" s="255">
        <f>'Introducció consums'!A36</f>
        <v>33</v>
      </c>
      <c r="B36" s="256" t="s">
        <v>66</v>
      </c>
      <c r="C36" s="158" t="str">
        <f>'Introducció consums'!C36</f>
        <v>Quadre EP 33</v>
      </c>
      <c r="D36" s="117">
        <f>Taula2[[#This Row],[CONSUM TOTAL]]*'Introducció criteris'!$E$11</f>
        <v>408</v>
      </c>
      <c r="E36" s="10">
        <f>Taula3[[#This Row],[Producció]]/'Introducció criteris'!$E$21</f>
        <v>0.30222222222222223</v>
      </c>
      <c r="F36" s="35">
        <f>+Taula3[[#This Row],[Potència pic]]/'Introducció criteris'!$E$23</f>
        <v>1.5111111111111111</v>
      </c>
      <c r="G36" s="117">
        <f>IF(Taula3[[#This Row],[Tipus subministrament]]="Quadre EP",0,Taula3[[#This Row],[Producció]]*'Introducció criteris'!$G$11)</f>
        <v>0</v>
      </c>
      <c r="H36" s="117">
        <f>Taula3[[#This Row],[Producció]]-Taula3[[#This Row],[Autoconsum instantani]]-Taula3[[#This Row],[Abocament a xarxa sense compensar]]</f>
        <v>408</v>
      </c>
      <c r="I36" s="117">
        <f>Taula38[[#This Row],[Producció]]*'Introducció criteris'!$I$13</f>
        <v>0</v>
      </c>
      <c r="J36" s="118">
        <f>Taula2[[#This Row],[CONSUM TOTAL]]-Taula3[[#This Row],[Autoconsum instantani]]</f>
        <v>2040</v>
      </c>
    </row>
    <row r="37" spans="1:10">
      <c r="A37" s="255">
        <f>'Introducció consums'!A37</f>
        <v>34</v>
      </c>
      <c r="B37" s="256" t="s">
        <v>66</v>
      </c>
      <c r="C37" s="158" t="str">
        <f>'Introducció consums'!C37</f>
        <v>Quadre EP 34</v>
      </c>
      <c r="D37" s="117">
        <f>Taula2[[#This Row],[CONSUM TOTAL]]*'Introducció criteris'!$E$11</f>
        <v>412</v>
      </c>
      <c r="E37" s="10">
        <f>Taula3[[#This Row],[Producció]]/'Introducció criteris'!$E$21</f>
        <v>0.30518518518518517</v>
      </c>
      <c r="F37" s="35">
        <f>+Taula3[[#This Row],[Potència pic]]/'Introducció criteris'!$E$23</f>
        <v>1.5259259259259257</v>
      </c>
      <c r="G37" s="117">
        <f>IF(Taula3[[#This Row],[Tipus subministrament]]="Quadre EP",0,Taula3[[#This Row],[Producció]]*'Introducció criteris'!$G$11)</f>
        <v>0</v>
      </c>
      <c r="H37" s="117">
        <f>Taula3[[#This Row],[Producció]]-Taula3[[#This Row],[Autoconsum instantani]]-Taula3[[#This Row],[Abocament a xarxa sense compensar]]</f>
        <v>412</v>
      </c>
      <c r="I37" s="117">
        <f>Taula38[[#This Row],[Producció]]*'Introducció criteris'!$I$13</f>
        <v>0</v>
      </c>
      <c r="J37" s="118">
        <f>Taula2[[#This Row],[CONSUM TOTAL]]-Taula3[[#This Row],[Autoconsum instantani]]</f>
        <v>2060</v>
      </c>
    </row>
    <row r="38" spans="1:10">
      <c r="A38" s="255">
        <f>'Introducció consums'!A38</f>
        <v>35</v>
      </c>
      <c r="B38" s="256" t="s">
        <v>66</v>
      </c>
      <c r="C38" s="158" t="str">
        <f>'Introducció consums'!C38</f>
        <v>Quadre EP 35</v>
      </c>
      <c r="D38" s="117">
        <f>Taula2[[#This Row],[CONSUM TOTAL]]*'Introducció criteris'!$E$11</f>
        <v>416</v>
      </c>
      <c r="E38" s="10">
        <f>Taula3[[#This Row],[Producció]]/'Introducció criteris'!$E$21</f>
        <v>0.30814814814814817</v>
      </c>
      <c r="F38" s="35">
        <f>+Taula3[[#This Row],[Potència pic]]/'Introducció criteris'!$E$23</f>
        <v>1.5407407407407407</v>
      </c>
      <c r="G38" s="117">
        <f>IF(Taula3[[#This Row],[Tipus subministrament]]="Quadre EP",0,Taula3[[#This Row],[Producció]]*'Introducció criteris'!$G$11)</f>
        <v>0</v>
      </c>
      <c r="H38" s="117">
        <f>Taula3[[#This Row],[Producció]]-Taula3[[#This Row],[Autoconsum instantani]]-Taula3[[#This Row],[Abocament a xarxa sense compensar]]</f>
        <v>416</v>
      </c>
      <c r="I38" s="117">
        <f>Taula38[[#This Row],[Producció]]*'Introducció criteris'!$I$13</f>
        <v>0</v>
      </c>
      <c r="J38" s="118">
        <f>Taula2[[#This Row],[CONSUM TOTAL]]-Taula3[[#This Row],[Autoconsum instantani]]</f>
        <v>2080</v>
      </c>
    </row>
    <row r="39" spans="1:10">
      <c r="A39" s="255">
        <f>'Introducció consums'!A39</f>
        <v>36</v>
      </c>
      <c r="B39" s="256" t="s">
        <v>66</v>
      </c>
      <c r="C39" s="158" t="str">
        <f>'Introducció consums'!C39</f>
        <v>Quadre EP 36</v>
      </c>
      <c r="D39" s="117">
        <f>Taula2[[#This Row],[CONSUM TOTAL]]*'Introducció criteris'!$E$11</f>
        <v>420</v>
      </c>
      <c r="E39" s="10">
        <f>Taula3[[#This Row],[Producció]]/'Introducció criteris'!$E$21</f>
        <v>0.31111111111111112</v>
      </c>
      <c r="F39" s="35">
        <f>+Taula3[[#This Row],[Potència pic]]/'Introducció criteris'!$E$23</f>
        <v>1.5555555555555556</v>
      </c>
      <c r="G39" s="117">
        <f>IF(Taula3[[#This Row],[Tipus subministrament]]="Quadre EP",0,Taula3[[#This Row],[Producció]]*'Introducció criteris'!$G$11)</f>
        <v>0</v>
      </c>
      <c r="H39" s="117">
        <f>Taula3[[#This Row],[Producció]]-Taula3[[#This Row],[Autoconsum instantani]]-Taula3[[#This Row],[Abocament a xarxa sense compensar]]</f>
        <v>420</v>
      </c>
      <c r="I39" s="117">
        <f>Taula38[[#This Row],[Producció]]*'Introducció criteris'!$I$13</f>
        <v>0</v>
      </c>
      <c r="J39" s="118">
        <f>Taula2[[#This Row],[CONSUM TOTAL]]-Taula3[[#This Row],[Autoconsum instantani]]</f>
        <v>2100</v>
      </c>
    </row>
    <row r="40" spans="1:10">
      <c r="A40" s="255">
        <f>'Introducció consums'!A40</f>
        <v>37</v>
      </c>
      <c r="B40" s="256" t="s">
        <v>66</v>
      </c>
      <c r="C40" s="158" t="str">
        <f>'Introducció consums'!C40</f>
        <v>Quadre EP 37</v>
      </c>
      <c r="D40" s="117">
        <f>Taula2[[#This Row],[CONSUM TOTAL]]*'Introducció criteris'!$E$11</f>
        <v>424</v>
      </c>
      <c r="E40" s="10">
        <f>Taula3[[#This Row],[Producció]]/'Introducció criteris'!$E$21</f>
        <v>0.31407407407407406</v>
      </c>
      <c r="F40" s="35">
        <f>+Taula3[[#This Row],[Potència pic]]/'Introducció criteris'!$E$23</f>
        <v>1.5703703703703702</v>
      </c>
      <c r="G40" s="117">
        <f>IF(Taula3[[#This Row],[Tipus subministrament]]="Quadre EP",0,Taula3[[#This Row],[Producció]]*'Introducció criteris'!$G$11)</f>
        <v>0</v>
      </c>
      <c r="H40" s="117">
        <f>Taula3[[#This Row],[Producció]]-Taula3[[#This Row],[Autoconsum instantani]]-Taula3[[#This Row],[Abocament a xarxa sense compensar]]</f>
        <v>424</v>
      </c>
      <c r="I40" s="117">
        <f>Taula38[[#This Row],[Producció]]*'Introducció criteris'!$I$13</f>
        <v>0</v>
      </c>
      <c r="J40" s="118">
        <f>Taula2[[#This Row],[CONSUM TOTAL]]-Taula3[[#This Row],[Autoconsum instantani]]</f>
        <v>2120</v>
      </c>
    </row>
    <row r="41" spans="1:10">
      <c r="A41" s="255">
        <f>'Introducció consums'!A41</f>
        <v>38</v>
      </c>
      <c r="B41" s="256" t="s">
        <v>66</v>
      </c>
      <c r="C41" s="158" t="str">
        <f>'Introducció consums'!C41</f>
        <v>Quadre EP 38</v>
      </c>
      <c r="D41" s="117">
        <f>Taula2[[#This Row],[CONSUM TOTAL]]*'Introducció criteris'!$E$11</f>
        <v>428</v>
      </c>
      <c r="E41" s="10">
        <f>Taula3[[#This Row],[Producció]]/'Introducció criteris'!$E$21</f>
        <v>0.31703703703703706</v>
      </c>
      <c r="F41" s="35">
        <f>+Taula3[[#This Row],[Potència pic]]/'Introducció criteris'!$E$23</f>
        <v>1.5851851851851853</v>
      </c>
      <c r="G41" s="117">
        <f>IF(Taula3[[#This Row],[Tipus subministrament]]="Quadre EP",0,Taula3[[#This Row],[Producció]]*'Introducció criteris'!$G$11)</f>
        <v>0</v>
      </c>
      <c r="H41" s="117">
        <f>Taula3[[#This Row],[Producció]]-Taula3[[#This Row],[Autoconsum instantani]]-Taula3[[#This Row],[Abocament a xarxa sense compensar]]</f>
        <v>428</v>
      </c>
      <c r="I41" s="117">
        <f>Taula38[[#This Row],[Producció]]*'Introducció criteris'!$I$13</f>
        <v>0</v>
      </c>
      <c r="J41" s="118">
        <f>Taula2[[#This Row],[CONSUM TOTAL]]-Taula3[[#This Row],[Autoconsum instantani]]</f>
        <v>2140</v>
      </c>
    </row>
    <row r="42" spans="1:10">
      <c r="A42" s="255">
        <f>'Introducció consums'!A42</f>
        <v>39</v>
      </c>
      <c r="B42" s="256" t="s">
        <v>66</v>
      </c>
      <c r="C42" s="158" t="str">
        <f>'Introducció consums'!C42</f>
        <v>Quadre EP 39</v>
      </c>
      <c r="D42" s="117">
        <f>Taula2[[#This Row],[CONSUM TOTAL]]*'Introducció criteris'!$E$11</f>
        <v>432</v>
      </c>
      <c r="E42" s="10">
        <f>Taula3[[#This Row],[Producció]]/'Introducció criteris'!$E$21</f>
        <v>0.32</v>
      </c>
      <c r="F42" s="35">
        <f>+Taula3[[#This Row],[Potència pic]]/'Introducció criteris'!$E$23</f>
        <v>1.5999999999999999</v>
      </c>
      <c r="G42" s="117">
        <f>IF(Taula3[[#This Row],[Tipus subministrament]]="Quadre EP",0,Taula3[[#This Row],[Producció]]*'Introducció criteris'!$G$11)</f>
        <v>0</v>
      </c>
      <c r="H42" s="117">
        <f>Taula3[[#This Row],[Producció]]-Taula3[[#This Row],[Autoconsum instantani]]-Taula3[[#This Row],[Abocament a xarxa sense compensar]]</f>
        <v>432</v>
      </c>
      <c r="I42" s="117">
        <f>Taula38[[#This Row],[Producció]]*'Introducció criteris'!$I$13</f>
        <v>0</v>
      </c>
      <c r="J42" s="118">
        <f>Taula2[[#This Row],[CONSUM TOTAL]]-Taula3[[#This Row],[Autoconsum instantani]]</f>
        <v>2160</v>
      </c>
    </row>
    <row r="43" spans="1:10">
      <c r="A43" s="255">
        <f>'Introducció consums'!A43</f>
        <v>40</v>
      </c>
      <c r="B43" s="256" t="s">
        <v>66</v>
      </c>
      <c r="C43" s="158" t="str">
        <f>'Introducció consums'!C43</f>
        <v>Quadre EP 40</v>
      </c>
      <c r="D43" s="117">
        <f>Taula2[[#This Row],[CONSUM TOTAL]]*'Introducció criteris'!$E$11</f>
        <v>436</v>
      </c>
      <c r="E43" s="10">
        <f>Taula3[[#This Row],[Producció]]/'Introducció criteris'!$E$21</f>
        <v>0.32296296296296295</v>
      </c>
      <c r="F43" s="35">
        <f>+Taula3[[#This Row],[Potència pic]]/'Introducció criteris'!$E$23</f>
        <v>1.6148148148148147</v>
      </c>
      <c r="G43" s="117">
        <f>IF(Taula3[[#This Row],[Tipus subministrament]]="Quadre EP",0,Taula3[[#This Row],[Producció]]*'Introducció criteris'!$G$11)</f>
        <v>0</v>
      </c>
      <c r="H43" s="117">
        <f>Taula3[[#This Row],[Producció]]-Taula3[[#This Row],[Autoconsum instantani]]-Taula3[[#This Row],[Abocament a xarxa sense compensar]]</f>
        <v>436</v>
      </c>
      <c r="I43" s="117">
        <f>Taula38[[#This Row],[Producció]]*'Introducció criteris'!$I$13</f>
        <v>0</v>
      </c>
      <c r="J43" s="118">
        <f>Taula2[[#This Row],[CONSUM TOTAL]]-Taula3[[#This Row],[Autoconsum instantani]]</f>
        <v>2180</v>
      </c>
    </row>
    <row r="44" spans="1:10">
      <c r="A44" s="255">
        <f>'Introducció consums'!A44</f>
        <v>41</v>
      </c>
      <c r="B44" s="256" t="s">
        <v>66</v>
      </c>
      <c r="C44" s="158" t="str">
        <f>'Introducció consums'!C44</f>
        <v>Quadre EP 41</v>
      </c>
      <c r="D44" s="117">
        <f>Taula2[[#This Row],[CONSUM TOTAL]]*'Introducció criteris'!$E$11</f>
        <v>440</v>
      </c>
      <c r="E44" s="10">
        <f>Taula3[[#This Row],[Producció]]/'Introducció criteris'!$E$21</f>
        <v>0.32592592592592595</v>
      </c>
      <c r="F44" s="35">
        <f>+Taula3[[#This Row],[Potència pic]]/'Introducció criteris'!$E$23</f>
        <v>1.6296296296296298</v>
      </c>
      <c r="G44" s="117">
        <f>IF(Taula3[[#This Row],[Tipus subministrament]]="Quadre EP",0,Taula3[[#This Row],[Producció]]*'Introducció criteris'!$G$11)</f>
        <v>0</v>
      </c>
      <c r="H44" s="117">
        <f>Taula3[[#This Row],[Producció]]-Taula3[[#This Row],[Autoconsum instantani]]-Taula3[[#This Row],[Abocament a xarxa sense compensar]]</f>
        <v>440</v>
      </c>
      <c r="I44" s="117">
        <f>Taula38[[#This Row],[Producció]]*'Introducció criteris'!$I$13</f>
        <v>0</v>
      </c>
      <c r="J44" s="118">
        <f>Taula2[[#This Row],[CONSUM TOTAL]]-Taula3[[#This Row],[Autoconsum instantani]]</f>
        <v>2200</v>
      </c>
    </row>
    <row r="45" spans="1:10">
      <c r="A45" s="255">
        <f>'Introducció consums'!A45</f>
        <v>42</v>
      </c>
      <c r="B45" s="256" t="s">
        <v>66</v>
      </c>
      <c r="C45" s="158" t="str">
        <f>'Introducció consums'!C45</f>
        <v>Quadre EP 42</v>
      </c>
      <c r="D45" s="117">
        <f>Taula2[[#This Row],[CONSUM TOTAL]]*'Introducció criteris'!$E$11</f>
        <v>444</v>
      </c>
      <c r="E45" s="10">
        <f>Taula3[[#This Row],[Producció]]/'Introducció criteris'!$E$21</f>
        <v>0.3288888888888889</v>
      </c>
      <c r="F45" s="35">
        <f>+Taula3[[#This Row],[Potència pic]]/'Introducció criteris'!$E$23</f>
        <v>1.6444444444444444</v>
      </c>
      <c r="G45" s="117">
        <f>IF(Taula3[[#This Row],[Tipus subministrament]]="Quadre EP",0,Taula3[[#This Row],[Producció]]*'Introducció criteris'!$G$11)</f>
        <v>0</v>
      </c>
      <c r="H45" s="117">
        <f>Taula3[[#This Row],[Producció]]-Taula3[[#This Row],[Autoconsum instantani]]-Taula3[[#This Row],[Abocament a xarxa sense compensar]]</f>
        <v>444</v>
      </c>
      <c r="I45" s="117">
        <f>Taula38[[#This Row],[Producció]]*'Introducció criteris'!$I$13</f>
        <v>0</v>
      </c>
      <c r="J45" s="118">
        <f>Taula2[[#This Row],[CONSUM TOTAL]]-Taula3[[#This Row],[Autoconsum instantani]]</f>
        <v>2220</v>
      </c>
    </row>
    <row r="46" spans="1:10">
      <c r="A46" s="255">
        <f>'Introducció consums'!A46</f>
        <v>43</v>
      </c>
      <c r="B46" s="256" t="s">
        <v>66</v>
      </c>
      <c r="C46" s="158" t="str">
        <f>'Introducció consums'!C46</f>
        <v>Quadre EP 43</v>
      </c>
      <c r="D46" s="117">
        <f>Taula2[[#This Row],[CONSUM TOTAL]]*'Introducció criteris'!$E$11</f>
        <v>448</v>
      </c>
      <c r="E46" s="10">
        <f>Taula3[[#This Row],[Producció]]/'Introducció criteris'!$E$21</f>
        <v>0.33185185185185184</v>
      </c>
      <c r="F46" s="35">
        <f>+Taula3[[#This Row],[Potència pic]]/'Introducció criteris'!$E$23</f>
        <v>1.6592592592592592</v>
      </c>
      <c r="G46" s="117">
        <f>IF(Taula3[[#This Row],[Tipus subministrament]]="Quadre EP",0,Taula3[[#This Row],[Producció]]*'Introducció criteris'!$G$11)</f>
        <v>0</v>
      </c>
      <c r="H46" s="117">
        <f>Taula3[[#This Row],[Producció]]-Taula3[[#This Row],[Autoconsum instantani]]-Taula3[[#This Row],[Abocament a xarxa sense compensar]]</f>
        <v>448</v>
      </c>
      <c r="I46" s="117">
        <f>Taula38[[#This Row],[Producció]]*'Introducció criteris'!$I$13</f>
        <v>0</v>
      </c>
      <c r="J46" s="118">
        <f>Taula2[[#This Row],[CONSUM TOTAL]]-Taula3[[#This Row],[Autoconsum instantani]]</f>
        <v>2240</v>
      </c>
    </row>
    <row r="47" spans="1:10">
      <c r="A47" s="255">
        <f>'Introducció consums'!A47</f>
        <v>44</v>
      </c>
      <c r="B47" s="256" t="s">
        <v>66</v>
      </c>
      <c r="C47" s="158" t="str">
        <f>'Introducció consums'!C47</f>
        <v>Quadre EP 44</v>
      </c>
      <c r="D47" s="117">
        <f>Taula2[[#This Row],[CONSUM TOTAL]]*'Introducció criteris'!$E$11</f>
        <v>452</v>
      </c>
      <c r="E47" s="10">
        <f>Taula3[[#This Row],[Producció]]/'Introducció criteris'!$E$21</f>
        <v>0.33481481481481479</v>
      </c>
      <c r="F47" s="35">
        <f>+Taula3[[#This Row],[Potència pic]]/'Introducció criteris'!$E$23</f>
        <v>1.6740740740740738</v>
      </c>
      <c r="G47" s="117">
        <f>IF(Taula3[[#This Row],[Tipus subministrament]]="Quadre EP",0,Taula3[[#This Row],[Producció]]*'Introducció criteris'!$G$11)</f>
        <v>0</v>
      </c>
      <c r="H47" s="117">
        <f>Taula3[[#This Row],[Producció]]-Taula3[[#This Row],[Autoconsum instantani]]-Taula3[[#This Row],[Abocament a xarxa sense compensar]]</f>
        <v>452</v>
      </c>
      <c r="I47" s="117">
        <f>Taula38[[#This Row],[Producció]]*'Introducció criteris'!$I$13</f>
        <v>0</v>
      </c>
      <c r="J47" s="118">
        <f>Taula2[[#This Row],[CONSUM TOTAL]]-Taula3[[#This Row],[Autoconsum instantani]]</f>
        <v>2260</v>
      </c>
    </row>
    <row r="48" spans="1:10">
      <c r="A48" s="255">
        <f>'Introducció consums'!A48</f>
        <v>45</v>
      </c>
      <c r="B48" s="256" t="s">
        <v>66</v>
      </c>
      <c r="C48" s="158" t="str">
        <f>'Introducció consums'!C48</f>
        <v>Quadre EP 45</v>
      </c>
      <c r="D48" s="117">
        <f>Taula2[[#This Row],[CONSUM TOTAL]]*'Introducció criteris'!$E$11</f>
        <v>456</v>
      </c>
      <c r="E48" s="10">
        <f>Taula3[[#This Row],[Producció]]/'Introducció criteris'!$E$21</f>
        <v>0.33777777777777779</v>
      </c>
      <c r="F48" s="35">
        <f>+Taula3[[#This Row],[Potència pic]]/'Introducció criteris'!$E$23</f>
        <v>1.6888888888888889</v>
      </c>
      <c r="G48" s="117">
        <f>IF(Taula3[[#This Row],[Tipus subministrament]]="Quadre EP",0,Taula3[[#This Row],[Producció]]*'Introducció criteris'!$G$11)</f>
        <v>0</v>
      </c>
      <c r="H48" s="117">
        <f>Taula3[[#This Row],[Producció]]-Taula3[[#This Row],[Autoconsum instantani]]-Taula3[[#This Row],[Abocament a xarxa sense compensar]]</f>
        <v>456</v>
      </c>
      <c r="I48" s="117">
        <f>Taula38[[#This Row],[Producció]]*'Introducció criteris'!$I$13</f>
        <v>0</v>
      </c>
      <c r="J48" s="118">
        <f>Taula2[[#This Row],[CONSUM TOTAL]]-Taula3[[#This Row],[Autoconsum instantani]]</f>
        <v>2280</v>
      </c>
    </row>
    <row r="49" spans="1:10">
      <c r="A49" s="255">
        <f>'Introducció consums'!A49</f>
        <v>46</v>
      </c>
      <c r="B49" s="256" t="s">
        <v>66</v>
      </c>
      <c r="C49" s="158" t="str">
        <f>'Introducció consums'!C49</f>
        <v>Quadre EP 46</v>
      </c>
      <c r="D49" s="117">
        <f>Taula2[[#This Row],[CONSUM TOTAL]]*'Introducció criteris'!$E$11</f>
        <v>460</v>
      </c>
      <c r="E49" s="10">
        <f>Taula3[[#This Row],[Producció]]/'Introducció criteris'!$E$21</f>
        <v>0.34074074074074073</v>
      </c>
      <c r="F49" s="35">
        <f>+Taula3[[#This Row],[Potència pic]]/'Introducció criteris'!$E$23</f>
        <v>1.7037037037037035</v>
      </c>
      <c r="G49" s="117">
        <f>IF(Taula3[[#This Row],[Tipus subministrament]]="Quadre EP",0,Taula3[[#This Row],[Producció]]*'Introducció criteris'!$G$11)</f>
        <v>0</v>
      </c>
      <c r="H49" s="117">
        <f>Taula3[[#This Row],[Producció]]-Taula3[[#This Row],[Autoconsum instantani]]-Taula3[[#This Row],[Abocament a xarxa sense compensar]]</f>
        <v>460</v>
      </c>
      <c r="I49" s="117">
        <f>Taula38[[#This Row],[Producció]]*'Introducció criteris'!$I$13</f>
        <v>0</v>
      </c>
      <c r="J49" s="118">
        <f>Taula2[[#This Row],[CONSUM TOTAL]]-Taula3[[#This Row],[Autoconsum instantani]]</f>
        <v>2300</v>
      </c>
    </row>
    <row r="50" spans="1:10">
      <c r="A50" s="255">
        <f>'Introducció consums'!A50</f>
        <v>47</v>
      </c>
      <c r="B50" s="256" t="s">
        <v>66</v>
      </c>
      <c r="C50" s="158" t="str">
        <f>'Introducció consums'!C50</f>
        <v>Quadre EP 47</v>
      </c>
      <c r="D50" s="117">
        <f>Taula2[[#This Row],[CONSUM TOTAL]]*'Introducció criteris'!$E$11</f>
        <v>464</v>
      </c>
      <c r="E50" s="10">
        <f>Taula3[[#This Row],[Producció]]/'Introducció criteris'!$E$21</f>
        <v>0.34370370370370368</v>
      </c>
      <c r="F50" s="35">
        <f>+Taula3[[#This Row],[Potència pic]]/'Introducció criteris'!$E$23</f>
        <v>1.7185185185185183</v>
      </c>
      <c r="G50" s="117">
        <f>IF(Taula3[[#This Row],[Tipus subministrament]]="Quadre EP",0,Taula3[[#This Row],[Producció]]*'Introducció criteris'!$G$11)</f>
        <v>0</v>
      </c>
      <c r="H50" s="117">
        <f>Taula3[[#This Row],[Producció]]-Taula3[[#This Row],[Autoconsum instantani]]-Taula3[[#This Row],[Abocament a xarxa sense compensar]]</f>
        <v>464</v>
      </c>
      <c r="I50" s="117">
        <f>Taula38[[#This Row],[Producció]]*'Introducció criteris'!$I$13</f>
        <v>0</v>
      </c>
      <c r="J50" s="118">
        <f>Taula2[[#This Row],[CONSUM TOTAL]]-Taula3[[#This Row],[Autoconsum instantani]]</f>
        <v>2320</v>
      </c>
    </row>
    <row r="51" spans="1:10">
      <c r="A51" s="255">
        <f>'Introducció consums'!A51</f>
        <v>48</v>
      </c>
      <c r="B51" s="256" t="s">
        <v>66</v>
      </c>
      <c r="C51" s="158" t="str">
        <f>'Introducció consums'!C51</f>
        <v>Quadre EP 48</v>
      </c>
      <c r="D51" s="117">
        <f>Taula2[[#This Row],[CONSUM TOTAL]]*'Introducció criteris'!$E$11</f>
        <v>468</v>
      </c>
      <c r="E51" s="10">
        <f>Taula3[[#This Row],[Producció]]/'Introducció criteris'!$E$21</f>
        <v>0.34666666666666668</v>
      </c>
      <c r="F51" s="35">
        <f>+Taula3[[#This Row],[Potència pic]]/'Introducció criteris'!$E$23</f>
        <v>1.7333333333333334</v>
      </c>
      <c r="G51" s="117">
        <f>IF(Taula3[[#This Row],[Tipus subministrament]]="Quadre EP",0,Taula3[[#This Row],[Producció]]*'Introducció criteris'!$G$11)</f>
        <v>0</v>
      </c>
      <c r="H51" s="117">
        <f>Taula3[[#This Row],[Producció]]-Taula3[[#This Row],[Autoconsum instantani]]-Taula3[[#This Row],[Abocament a xarxa sense compensar]]</f>
        <v>468</v>
      </c>
      <c r="I51" s="117">
        <f>Taula38[[#This Row],[Producció]]*'Introducció criteris'!$I$13</f>
        <v>0</v>
      </c>
      <c r="J51" s="118">
        <f>Taula2[[#This Row],[CONSUM TOTAL]]-Taula3[[#This Row],[Autoconsum instantani]]</f>
        <v>2340</v>
      </c>
    </row>
    <row r="52" spans="1:10">
      <c r="A52" s="255">
        <f>'Introducció consums'!A52</f>
        <v>49</v>
      </c>
      <c r="B52" s="256" t="s">
        <v>66</v>
      </c>
      <c r="C52" s="158" t="str">
        <f>'Introducció consums'!C52</f>
        <v>Quadre EP 49</v>
      </c>
      <c r="D52" s="104">
        <f>Taula2[[#This Row],[CONSUM TOTAL]]*'Introducció criteris'!$E$11</f>
        <v>472</v>
      </c>
      <c r="E52" s="119">
        <f>Taula3[[#This Row],[Producció]]/'Introducció criteris'!$E$21</f>
        <v>0.34962962962962962</v>
      </c>
      <c r="F52" s="120">
        <f>+Taula3[[#This Row],[Potència pic]]/'Introducció criteris'!$E$23</f>
        <v>1.748148148148148</v>
      </c>
      <c r="G52" s="9">
        <f>IF(Taula3[[#This Row],[Tipus subministrament]]="Quadre EP",0,Taula3[[#This Row],[Producció]]*'Introducció criteris'!$G$11)</f>
        <v>0</v>
      </c>
      <c r="H52" s="9">
        <f>Taula3[[#This Row],[Producció]]-Taula3[[#This Row],[Autoconsum instantani]]-Taula3[[#This Row],[Abocament a xarxa sense compensar]]</f>
        <v>472</v>
      </c>
      <c r="I52" s="9">
        <f>Taula38[[#This Row],[Producció]]*'Introducció criteris'!$I$13</f>
        <v>0</v>
      </c>
      <c r="J52" s="11">
        <f>Taula2[[#This Row],[CONSUM TOTAL]]-Taula3[[#This Row],[Autoconsum instantani]]</f>
        <v>2360</v>
      </c>
    </row>
    <row r="53" spans="1:10" ht="15" thickBot="1">
      <c r="A53" s="257">
        <f>'Introducció consums'!A53</f>
        <v>50</v>
      </c>
      <c r="B53" s="258" t="s">
        <v>66</v>
      </c>
      <c r="C53" s="259" t="str">
        <f>'Introducció consums'!C53</f>
        <v>Quadre EP 50</v>
      </c>
      <c r="D53" s="153">
        <f>Taula2[[#This Row],[CONSUM TOTAL]]*'Introducció criteris'!$E$11</f>
        <v>476</v>
      </c>
      <c r="E53" s="23">
        <f>Taula3[[#This Row],[Producció]]/'Introducció criteris'!$E$21</f>
        <v>0.35259259259259257</v>
      </c>
      <c r="F53" s="154">
        <f>+Taula3[[#This Row],[Potència pic]]/'Introducció criteris'!$E$23</f>
        <v>1.7629629629629628</v>
      </c>
      <c r="G53" s="153">
        <f>IF(Taula3[[#This Row],[Tipus subministrament]]="Quadre EP",0,Taula3[[#This Row],[Producció]]*'Introducció criteris'!$G$11)</f>
        <v>0</v>
      </c>
      <c r="H53" s="153">
        <f>Taula3[[#This Row],[Producció]]-Taula3[[#This Row],[Autoconsum instantani]]-Taula3[[#This Row],[Abocament a xarxa sense compensar]]</f>
        <v>476</v>
      </c>
      <c r="I53" s="153">
        <f>Taula38[[#This Row],[Producció]]*'Introducció criteris'!$I$13</f>
        <v>0</v>
      </c>
      <c r="J53" s="155">
        <f>Taula2[[#This Row],[CONSUM TOTAL]]-Taula3[[#This Row],[Autoconsum instantani]]</f>
        <v>2380</v>
      </c>
    </row>
    <row r="54" spans="1:10" ht="9" customHeight="1" thickBot="1">
      <c r="D54" s="139"/>
      <c r="E54" s="140"/>
      <c r="F54" s="141"/>
      <c r="G54" s="139"/>
      <c r="H54" s="139"/>
      <c r="I54" s="139"/>
      <c r="J54" s="139"/>
    </row>
    <row r="55" spans="1:10" ht="28.5" customHeight="1" thickBot="1">
      <c r="A55" s="142"/>
      <c r="B55" s="193"/>
      <c r="C55" s="143" t="s">
        <v>158</v>
      </c>
      <c r="D55" s="144">
        <f>SUM(D4:D53)</f>
        <v>22380</v>
      </c>
      <c r="E55" s="145">
        <f t="shared" ref="E55:J55" si="0">SUM(E4:E53)</f>
        <v>16.577777777777776</v>
      </c>
      <c r="F55" s="146">
        <f t="shared" si="0"/>
        <v>82.888888888888886</v>
      </c>
      <c r="G55" s="144">
        <f t="shared" si="0"/>
        <v>6480</v>
      </c>
      <c r="H55" s="144">
        <f t="shared" si="0"/>
        <v>15900</v>
      </c>
      <c r="I55" s="144">
        <f t="shared" si="0"/>
        <v>0</v>
      </c>
      <c r="J55" s="147">
        <f t="shared" si="0"/>
        <v>105420</v>
      </c>
    </row>
    <row r="56" spans="1:10">
      <c r="D56" s="139"/>
      <c r="E56" s="140"/>
      <c r="F56" s="141"/>
      <c r="G56" s="139"/>
      <c r="H56" s="139"/>
      <c r="I56" s="139"/>
      <c r="J56" s="139"/>
    </row>
    <row r="57" spans="1:10">
      <c r="D57" s="139"/>
      <c r="E57" s="140"/>
      <c r="F57" s="141"/>
      <c r="G57" s="139"/>
      <c r="H57" s="139"/>
      <c r="I57" s="139"/>
      <c r="J57" s="139"/>
    </row>
    <row r="58" spans="1:10">
      <c r="D58" s="139"/>
      <c r="E58" s="140"/>
      <c r="F58" s="141"/>
      <c r="G58" s="139"/>
      <c r="H58" s="139"/>
      <c r="I58" s="139"/>
      <c r="J58" s="139"/>
    </row>
    <row r="59" spans="1:10">
      <c r="D59" s="139"/>
      <c r="E59" s="140"/>
      <c r="F59" s="141"/>
      <c r="G59" s="139"/>
      <c r="H59" s="139"/>
      <c r="I59" s="139"/>
      <c r="J59" s="139"/>
    </row>
    <row r="60" spans="1:10">
      <c r="D60" s="139"/>
      <c r="E60" s="140"/>
      <c r="F60" s="141"/>
      <c r="G60" s="139"/>
      <c r="H60" s="139"/>
      <c r="I60" s="139"/>
      <c r="J60" s="139"/>
    </row>
    <row r="61" spans="1:10">
      <c r="D61" s="139"/>
      <c r="E61" s="140"/>
      <c r="F61" s="141"/>
      <c r="G61" s="139"/>
      <c r="H61" s="139"/>
      <c r="I61" s="139"/>
      <c r="J61" s="139"/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C35E2-E25B-44CF-8D7E-60D466C3CEB8}">
  <sheetPr>
    <tabColor theme="8" tint="0.39997558519241921"/>
  </sheetPr>
  <dimension ref="A1:AD61"/>
  <sheetViews>
    <sheetView zoomScale="85" zoomScaleNormal="85" workbookViewId="0"/>
  </sheetViews>
  <sheetFormatPr defaultColWidth="8.7109375" defaultRowHeight="14.45"/>
  <cols>
    <col min="1" max="1" width="8.7109375" style="135"/>
    <col min="2" max="2" width="15.7109375" style="135" customWidth="1"/>
    <col min="3" max="3" width="23.7109375" style="135" customWidth="1"/>
    <col min="4" max="4" width="16.28515625" style="135" customWidth="1"/>
    <col min="5" max="5" width="15.7109375" style="135" customWidth="1"/>
    <col min="6" max="6" width="14.28515625" style="135" customWidth="1"/>
    <col min="7" max="7" width="28.28515625" style="135" customWidth="1"/>
    <col min="8" max="8" width="19.28515625" style="135" customWidth="1"/>
    <col min="9" max="9" width="25.28515625" style="135" customWidth="1"/>
    <col min="10" max="10" width="22.28515625" style="135" customWidth="1"/>
    <col min="11" max="16384" width="8.7109375" style="135"/>
  </cols>
  <sheetData>
    <row r="1" spans="1:30" ht="25.9">
      <c r="A1" s="111" t="s">
        <v>149</v>
      </c>
      <c r="B1" s="111"/>
      <c r="C1" s="111"/>
      <c r="D1" s="112"/>
      <c r="E1" s="113"/>
      <c r="F1" s="113"/>
      <c r="G1" s="113"/>
      <c r="H1" s="113"/>
      <c r="I1" s="113"/>
      <c r="J1" s="11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4"/>
      <c r="X1" s="134"/>
      <c r="Y1" s="134"/>
      <c r="Z1" s="134"/>
      <c r="AA1" s="134"/>
      <c r="AB1" s="134"/>
      <c r="AC1" s="134"/>
      <c r="AD1" s="134"/>
    </row>
    <row r="2" spans="1:30" ht="23.45">
      <c r="A2" s="115" t="str">
        <f>CONCATENATE('Introducció criteris'!$C$13,": produint el ",'Introducció criteris'!E13*100,"% del consum i autoconsumint un ",'Introducció criteris'!$G$13*100,"% de la producció")</f>
        <v>Escenari 2: produint el 50% del consum i autoconsumint un 70% de la producció</v>
      </c>
      <c r="B2" s="115"/>
      <c r="C2" s="115"/>
      <c r="D2" s="115"/>
      <c r="E2" s="115"/>
      <c r="F2" s="115"/>
      <c r="G2" s="116"/>
      <c r="H2" s="116"/>
      <c r="I2" s="116"/>
      <c r="J2" s="115"/>
      <c r="K2" s="136"/>
      <c r="L2" s="137"/>
      <c r="M2" s="137"/>
      <c r="N2" s="137"/>
      <c r="O2" s="137"/>
      <c r="P2" s="138"/>
      <c r="Q2" s="138"/>
      <c r="R2" s="137"/>
      <c r="S2" s="137"/>
      <c r="T2" s="137"/>
      <c r="U2" s="137"/>
      <c r="V2" s="137"/>
      <c r="W2" s="134"/>
      <c r="X2" s="134"/>
      <c r="Y2" s="134"/>
      <c r="Z2" s="134"/>
      <c r="AA2" s="134"/>
      <c r="AB2" s="134"/>
      <c r="AC2" s="134"/>
      <c r="AD2" s="134"/>
    </row>
    <row r="3" spans="1:30" ht="33" customHeight="1" thickBot="1">
      <c r="A3" s="159" t="s">
        <v>150</v>
      </c>
      <c r="B3" s="190" t="s">
        <v>18</v>
      </c>
      <c r="C3" s="160" t="s">
        <v>19</v>
      </c>
      <c r="D3" s="161" t="s">
        <v>151</v>
      </c>
      <c r="E3" s="162" t="s">
        <v>152</v>
      </c>
      <c r="F3" s="162" t="s">
        <v>153</v>
      </c>
      <c r="G3" s="163" t="s">
        <v>154</v>
      </c>
      <c r="H3" s="164" t="s">
        <v>155</v>
      </c>
      <c r="I3" s="162" t="s">
        <v>156</v>
      </c>
      <c r="J3" s="163" t="s">
        <v>157</v>
      </c>
    </row>
    <row r="4" spans="1:30">
      <c r="A4" s="165">
        <f>'Introducció consums'!A4</f>
        <v>1</v>
      </c>
      <c r="B4" s="191" t="s">
        <v>33</v>
      </c>
      <c r="C4" s="131" t="str">
        <f>'Introducció consums'!C4</f>
        <v>Equipament 1</v>
      </c>
      <c r="D4" s="148">
        <f>Taula2[[#This Row],[CONSUM TOTAL]]*'Introducció criteris'!$E$13</f>
        <v>1000</v>
      </c>
      <c r="E4" s="149">
        <f>Taula38[[#This Row],[Producció]]/'Introducció criteris'!$E$21</f>
        <v>0.7407407407407407</v>
      </c>
      <c r="F4" s="150">
        <f>+Taula38[[#This Row],[Potència pic]]/'Introducció criteris'!$E$23</f>
        <v>3.7037037037037033</v>
      </c>
      <c r="G4" s="148">
        <f>IF(Taula38[[#This Row],[Tipus subministrament]]="Quadre EP",0,Taula38[[#This Row],[Producció]]*'Introducció criteris'!$G$13)</f>
        <v>700</v>
      </c>
      <c r="H4" s="148">
        <f>Taula38[[#This Row],[Producció]]-Taula38[[#This Row],[Autoconsum instantani]]-Taula38[[#This Row],[Abocament a xarxa sense compensar]]</f>
        <v>300</v>
      </c>
      <c r="I4" s="148">
        <f>Taula38[[#This Row],[Producció]]*'Introducció criteris'!$I$13</f>
        <v>0</v>
      </c>
      <c r="J4" s="151">
        <f>Taula2[[#This Row],[CONSUM TOTAL]]-Taula38[[#This Row],[Autoconsum instantani]]</f>
        <v>1300</v>
      </c>
    </row>
    <row r="5" spans="1:30">
      <c r="A5" s="166">
        <f>'Introducció consums'!A5</f>
        <v>2</v>
      </c>
      <c r="B5" s="195" t="s">
        <v>33</v>
      </c>
      <c r="C5" t="str">
        <f>'Introducció consums'!C5</f>
        <v>Equipament 2</v>
      </c>
      <c r="D5" s="117">
        <f>Taula2[[#This Row],[CONSUM TOTAL]]*'Introducció criteris'!$E$13</f>
        <v>1050</v>
      </c>
      <c r="E5" s="10">
        <f>Taula38[[#This Row],[Producció]]/'Introducció criteris'!$E$21</f>
        <v>0.77777777777777779</v>
      </c>
      <c r="F5" s="35">
        <f>+Taula38[[#This Row],[Potència pic]]/'Introducció criteris'!$E$23</f>
        <v>3.8888888888888888</v>
      </c>
      <c r="G5" s="117">
        <f>IF(Taula38[[#This Row],[Tipus subministrament]]="Quadre EP",0,Taula38[[#This Row],[Producció]]*'Introducció criteris'!$G$13)</f>
        <v>735</v>
      </c>
      <c r="H5" s="117">
        <f>Taula38[[#This Row],[Producció]]-Taula38[[#This Row],[Autoconsum instantani]]-Taula38[[#This Row],[Abocament a xarxa sense compensar]]</f>
        <v>315</v>
      </c>
      <c r="I5" s="117">
        <f>Taula38[[#This Row],[Producció]]*'Introducció criteris'!$I$13</f>
        <v>0</v>
      </c>
      <c r="J5" s="118">
        <f>Taula2[[#This Row],[CONSUM TOTAL]]-Taula38[[#This Row],[Autoconsum instantani]]</f>
        <v>1365</v>
      </c>
    </row>
    <row r="6" spans="1:30">
      <c r="A6" s="166">
        <f>'Introducció consums'!A6</f>
        <v>3</v>
      </c>
      <c r="B6" s="195" t="s">
        <v>33</v>
      </c>
      <c r="C6" t="str">
        <f>'Introducció consums'!C6</f>
        <v>Equipament 3</v>
      </c>
      <c r="D6" s="117">
        <f>Taula2[[#This Row],[CONSUM TOTAL]]*'Introducció criteris'!$E$13</f>
        <v>1100</v>
      </c>
      <c r="E6" s="10">
        <f>Taula38[[#This Row],[Producció]]/'Introducció criteris'!$E$21</f>
        <v>0.81481481481481477</v>
      </c>
      <c r="F6" s="35">
        <f>+Taula38[[#This Row],[Potència pic]]/'Introducció criteris'!$E$23</f>
        <v>4.0740740740740735</v>
      </c>
      <c r="G6" s="117">
        <f>IF(Taula38[[#This Row],[Tipus subministrament]]="Quadre EP",0,Taula38[[#This Row],[Producció]]*'Introducció criteris'!$G$13)</f>
        <v>770</v>
      </c>
      <c r="H6" s="117">
        <f>Taula38[[#This Row],[Producció]]-Taula38[[#This Row],[Autoconsum instantani]]-Taula38[[#This Row],[Abocament a xarxa sense compensar]]</f>
        <v>330</v>
      </c>
      <c r="I6" s="117">
        <f>Taula38[[#This Row],[Producció]]*'Introducció criteris'!$I$13</f>
        <v>0</v>
      </c>
      <c r="J6" s="118">
        <f>Taula2[[#This Row],[CONSUM TOTAL]]-Taula38[[#This Row],[Autoconsum instantani]]</f>
        <v>1430</v>
      </c>
    </row>
    <row r="7" spans="1:30">
      <c r="A7" s="166">
        <f>'Introducció consums'!A7</f>
        <v>4</v>
      </c>
      <c r="B7" s="195" t="s">
        <v>33</v>
      </c>
      <c r="C7" t="str">
        <f>'Introducció consums'!C7</f>
        <v>Equipament 4</v>
      </c>
      <c r="D7" s="117">
        <f>Taula2[[#This Row],[CONSUM TOTAL]]*'Introducció criteris'!$E$13</f>
        <v>1150</v>
      </c>
      <c r="E7" s="10">
        <f>Taula38[[#This Row],[Producció]]/'Introducció criteris'!$E$21</f>
        <v>0.85185185185185186</v>
      </c>
      <c r="F7" s="35">
        <f>+Taula38[[#This Row],[Potència pic]]/'Introducció criteris'!$E$23</f>
        <v>4.2592592592592586</v>
      </c>
      <c r="G7" s="117">
        <f>IF(Taula38[[#This Row],[Tipus subministrament]]="Quadre EP",0,Taula38[[#This Row],[Producció]]*'Introducció criteris'!$G$13)</f>
        <v>805</v>
      </c>
      <c r="H7" s="117">
        <f>Taula38[[#This Row],[Producció]]-Taula38[[#This Row],[Autoconsum instantani]]-Taula38[[#This Row],[Abocament a xarxa sense compensar]]</f>
        <v>345</v>
      </c>
      <c r="I7" s="117">
        <f>Taula38[[#This Row],[Producció]]*'Introducció criteris'!$I$13</f>
        <v>0</v>
      </c>
      <c r="J7" s="118">
        <f>Taula2[[#This Row],[CONSUM TOTAL]]-Taula38[[#This Row],[Autoconsum instantani]]</f>
        <v>1495</v>
      </c>
    </row>
    <row r="8" spans="1:30">
      <c r="A8" s="166">
        <f>'Introducció consums'!A8</f>
        <v>5</v>
      </c>
      <c r="B8" s="195" t="s">
        <v>33</v>
      </c>
      <c r="C8" t="str">
        <f>'Introducció consums'!C8</f>
        <v>Equipament 5</v>
      </c>
      <c r="D8" s="117">
        <f>Taula2[[#This Row],[CONSUM TOTAL]]*'Introducció criteris'!$E$13</f>
        <v>1200</v>
      </c>
      <c r="E8" s="10">
        <f>Taula38[[#This Row],[Producció]]/'Introducció criteris'!$E$21</f>
        <v>0.88888888888888884</v>
      </c>
      <c r="F8" s="35">
        <f>+Taula38[[#This Row],[Potència pic]]/'Introducció criteris'!$E$23</f>
        <v>4.4444444444444438</v>
      </c>
      <c r="G8" s="117">
        <f>IF(Taula38[[#This Row],[Tipus subministrament]]="Quadre EP",0,Taula38[[#This Row],[Producció]]*'Introducció criteris'!$G$13)</f>
        <v>840</v>
      </c>
      <c r="H8" s="117">
        <f>Taula38[[#This Row],[Producció]]-Taula38[[#This Row],[Autoconsum instantani]]-Taula38[[#This Row],[Abocament a xarxa sense compensar]]</f>
        <v>360</v>
      </c>
      <c r="I8" s="117">
        <f>Taula38[[#This Row],[Producció]]*'Introducció criteris'!$I$13</f>
        <v>0</v>
      </c>
      <c r="J8" s="118">
        <f>Taula2[[#This Row],[CONSUM TOTAL]]-Taula38[[#This Row],[Autoconsum instantani]]</f>
        <v>1560</v>
      </c>
    </row>
    <row r="9" spans="1:30">
      <c r="A9" s="166">
        <f>'Introducció consums'!A9</f>
        <v>6</v>
      </c>
      <c r="B9" s="195" t="s">
        <v>33</v>
      </c>
      <c r="C9" t="str">
        <f>'Introducció consums'!C9</f>
        <v>Equipament 6</v>
      </c>
      <c r="D9" s="117">
        <f>Taula2[[#This Row],[CONSUM TOTAL]]*'Introducció criteris'!$E$13</f>
        <v>1250</v>
      </c>
      <c r="E9" s="10">
        <f>Taula38[[#This Row],[Producció]]/'Introducció criteris'!$E$21</f>
        <v>0.92592592592592593</v>
      </c>
      <c r="F9" s="35">
        <f>+Taula38[[#This Row],[Potència pic]]/'Introducció criteris'!$E$23</f>
        <v>4.6296296296296298</v>
      </c>
      <c r="G9" s="117">
        <f>IF(Taula38[[#This Row],[Tipus subministrament]]="Quadre EP",0,Taula38[[#This Row],[Producció]]*'Introducció criteris'!$G$13)</f>
        <v>875</v>
      </c>
      <c r="H9" s="117">
        <f>Taula38[[#This Row],[Producció]]-Taula38[[#This Row],[Autoconsum instantani]]-Taula38[[#This Row],[Abocament a xarxa sense compensar]]</f>
        <v>375</v>
      </c>
      <c r="I9" s="117">
        <f>Taula38[[#This Row],[Producció]]*'Introducció criteris'!$I$13</f>
        <v>0</v>
      </c>
      <c r="J9" s="118">
        <f>Taula2[[#This Row],[CONSUM TOTAL]]-Taula38[[#This Row],[Autoconsum instantani]]</f>
        <v>1625</v>
      </c>
    </row>
    <row r="10" spans="1:30">
      <c r="A10" s="166">
        <f>'Introducció consums'!A10</f>
        <v>7</v>
      </c>
      <c r="B10" s="195" t="s">
        <v>33</v>
      </c>
      <c r="C10" t="str">
        <f>'Introducció consums'!C10</f>
        <v>Equipament 7</v>
      </c>
      <c r="D10" s="117">
        <f>Taula2[[#This Row],[CONSUM TOTAL]]*'Introducció criteris'!$E$13</f>
        <v>1300</v>
      </c>
      <c r="E10" s="10">
        <f>Taula38[[#This Row],[Producció]]/'Introducció criteris'!$E$21</f>
        <v>0.96296296296296291</v>
      </c>
      <c r="F10" s="35">
        <f>+Taula38[[#This Row],[Potència pic]]/'Introducció criteris'!$E$23</f>
        <v>4.814814814814814</v>
      </c>
      <c r="G10" s="117">
        <f>IF(Taula38[[#This Row],[Tipus subministrament]]="Quadre EP",0,Taula38[[#This Row],[Producció]]*'Introducció criteris'!$G$13)</f>
        <v>909.99999999999989</v>
      </c>
      <c r="H10" s="117">
        <f>Taula38[[#This Row],[Producció]]-Taula38[[#This Row],[Autoconsum instantani]]-Taula38[[#This Row],[Abocament a xarxa sense compensar]]</f>
        <v>390.00000000000011</v>
      </c>
      <c r="I10" s="117">
        <f>Taula38[[#This Row],[Producció]]*'Introducció criteris'!$I$13</f>
        <v>0</v>
      </c>
      <c r="J10" s="118">
        <f>Taula2[[#This Row],[CONSUM TOTAL]]-Taula38[[#This Row],[Autoconsum instantani]]</f>
        <v>1690</v>
      </c>
    </row>
    <row r="11" spans="1:30">
      <c r="A11" s="166">
        <f>'Introducció consums'!A11</f>
        <v>8</v>
      </c>
      <c r="B11" s="195" t="s">
        <v>33</v>
      </c>
      <c r="C11" t="str">
        <f>'Introducció consums'!C11</f>
        <v>Equipament 8</v>
      </c>
      <c r="D11" s="117">
        <f>Taula2[[#This Row],[CONSUM TOTAL]]*'Introducció criteris'!$E$13</f>
        <v>1350</v>
      </c>
      <c r="E11" s="10">
        <f>Taula38[[#This Row],[Producció]]/'Introducció criteris'!$E$21</f>
        <v>1</v>
      </c>
      <c r="F11" s="35">
        <f>+Taula38[[#This Row],[Potència pic]]/'Introducció criteris'!$E$23</f>
        <v>5</v>
      </c>
      <c r="G11" s="117">
        <f>IF(Taula38[[#This Row],[Tipus subministrament]]="Quadre EP",0,Taula38[[#This Row],[Producció]]*'Introducció criteris'!$G$13)</f>
        <v>944.99999999999989</v>
      </c>
      <c r="H11" s="117">
        <f>Taula38[[#This Row],[Producció]]-Taula38[[#This Row],[Autoconsum instantani]]-Taula38[[#This Row],[Abocament a xarxa sense compensar]]</f>
        <v>405.00000000000011</v>
      </c>
      <c r="I11" s="117">
        <f>Taula38[[#This Row],[Producció]]*'Introducció criteris'!$I$13</f>
        <v>0</v>
      </c>
      <c r="J11" s="118">
        <f>Taula2[[#This Row],[CONSUM TOTAL]]-Taula38[[#This Row],[Autoconsum instantani]]</f>
        <v>1755</v>
      </c>
    </row>
    <row r="12" spans="1:30">
      <c r="A12" s="166">
        <f>'Introducció consums'!A12</f>
        <v>9</v>
      </c>
      <c r="B12" s="195" t="s">
        <v>33</v>
      </c>
      <c r="C12" t="str">
        <f>'Introducció consums'!C12</f>
        <v>Equipament 9</v>
      </c>
      <c r="D12" s="117">
        <f>Taula2[[#This Row],[CONSUM TOTAL]]*'Introducció criteris'!$E$13</f>
        <v>1400</v>
      </c>
      <c r="E12" s="10">
        <f>Taula38[[#This Row],[Producció]]/'Introducció criteris'!$E$21</f>
        <v>1.037037037037037</v>
      </c>
      <c r="F12" s="35">
        <f>+Taula38[[#This Row],[Potència pic]]/'Introducció criteris'!$E$23</f>
        <v>5.1851851851851842</v>
      </c>
      <c r="G12" s="117">
        <f>IF(Taula38[[#This Row],[Tipus subministrament]]="Quadre EP",0,Taula38[[#This Row],[Producció]]*'Introducció criteris'!$G$13)</f>
        <v>979.99999999999989</v>
      </c>
      <c r="H12" s="117">
        <f>Taula38[[#This Row],[Producció]]-Taula38[[#This Row],[Autoconsum instantani]]-Taula38[[#This Row],[Abocament a xarxa sense compensar]]</f>
        <v>420.00000000000011</v>
      </c>
      <c r="I12" s="117">
        <f>Taula38[[#This Row],[Producció]]*'Introducció criteris'!$I$13</f>
        <v>0</v>
      </c>
      <c r="J12" s="118">
        <f>Taula2[[#This Row],[CONSUM TOTAL]]-Taula38[[#This Row],[Autoconsum instantani]]</f>
        <v>1820</v>
      </c>
    </row>
    <row r="13" spans="1:30">
      <c r="A13" s="166">
        <f>'Introducció consums'!A13</f>
        <v>10</v>
      </c>
      <c r="B13" s="195" t="s">
        <v>33</v>
      </c>
      <c r="C13" t="str">
        <f>'Introducció consums'!C13</f>
        <v>Equipament 10</v>
      </c>
      <c r="D13" s="117">
        <f>Taula2[[#This Row],[CONSUM TOTAL]]*'Introducció criteris'!$E$13</f>
        <v>1450</v>
      </c>
      <c r="E13" s="10">
        <f>Taula38[[#This Row],[Producció]]/'Introducció criteris'!$E$21</f>
        <v>1.0740740740740742</v>
      </c>
      <c r="F13" s="35">
        <f>+Taula38[[#This Row],[Potència pic]]/'Introducció criteris'!$E$23</f>
        <v>5.3703703703703702</v>
      </c>
      <c r="G13" s="117">
        <f>IF(Taula38[[#This Row],[Tipus subministrament]]="Quadre EP",0,Taula38[[#This Row],[Producció]]*'Introducció criteris'!$G$13)</f>
        <v>1014.9999999999999</v>
      </c>
      <c r="H13" s="117">
        <f>Taula38[[#This Row],[Producció]]-Taula38[[#This Row],[Autoconsum instantani]]-Taula38[[#This Row],[Abocament a xarxa sense compensar]]</f>
        <v>435.00000000000011</v>
      </c>
      <c r="I13" s="117">
        <f>Taula38[[#This Row],[Producció]]*'Introducció criteris'!$I$13</f>
        <v>0</v>
      </c>
      <c r="J13" s="118">
        <f>Taula2[[#This Row],[CONSUM TOTAL]]-Taula38[[#This Row],[Autoconsum instantani]]</f>
        <v>1885</v>
      </c>
    </row>
    <row r="14" spans="1:30">
      <c r="A14" s="166">
        <f>'Introducció consums'!A14</f>
        <v>11</v>
      </c>
      <c r="B14" s="195" t="s">
        <v>33</v>
      </c>
      <c r="C14" t="str">
        <f>'Introducció consums'!C14</f>
        <v>Equipament 11</v>
      </c>
      <c r="D14" s="117">
        <f>Taula2[[#This Row],[CONSUM TOTAL]]*'Introducció criteris'!$E$13</f>
        <v>1500</v>
      </c>
      <c r="E14" s="10">
        <f>Taula38[[#This Row],[Producció]]/'Introducció criteris'!$E$21</f>
        <v>1.1111111111111112</v>
      </c>
      <c r="F14" s="35">
        <f>+Taula38[[#This Row],[Potència pic]]/'Introducció criteris'!$E$23</f>
        <v>5.5555555555555554</v>
      </c>
      <c r="G14" s="117">
        <f>IF(Taula38[[#This Row],[Tipus subministrament]]="Quadre EP",0,Taula38[[#This Row],[Producció]]*'Introducció criteris'!$G$13)</f>
        <v>1050</v>
      </c>
      <c r="H14" s="117">
        <f>Taula38[[#This Row],[Producció]]-Taula38[[#This Row],[Autoconsum instantani]]-Taula38[[#This Row],[Abocament a xarxa sense compensar]]</f>
        <v>450</v>
      </c>
      <c r="I14" s="117">
        <f>Taula38[[#This Row],[Producció]]*'Introducció criteris'!$I$13</f>
        <v>0</v>
      </c>
      <c r="J14" s="118">
        <f>Taula2[[#This Row],[CONSUM TOTAL]]-Taula38[[#This Row],[Autoconsum instantani]]</f>
        <v>1950</v>
      </c>
    </row>
    <row r="15" spans="1:30">
      <c r="A15" s="166">
        <f>'Introducció consums'!A15</f>
        <v>12</v>
      </c>
      <c r="B15" s="195" t="s">
        <v>33</v>
      </c>
      <c r="C15" t="str">
        <f>'Introducció consums'!C15</f>
        <v>Equipament 12</v>
      </c>
      <c r="D15" s="117">
        <f>Taula2[[#This Row],[CONSUM TOTAL]]*'Introducció criteris'!$E$13</f>
        <v>1550</v>
      </c>
      <c r="E15" s="10">
        <f>Taula38[[#This Row],[Producció]]/'Introducció criteris'!$E$21</f>
        <v>1.1481481481481481</v>
      </c>
      <c r="F15" s="35">
        <f>+Taula38[[#This Row],[Potència pic]]/'Introducció criteris'!$E$23</f>
        <v>5.7407407407407405</v>
      </c>
      <c r="G15" s="117">
        <f>IF(Taula38[[#This Row],[Tipus subministrament]]="Quadre EP",0,Taula38[[#This Row],[Producció]]*'Introducció criteris'!$G$13)</f>
        <v>1085</v>
      </c>
      <c r="H15" s="117">
        <f>Taula38[[#This Row],[Producció]]-Taula38[[#This Row],[Autoconsum instantani]]-Taula38[[#This Row],[Abocament a xarxa sense compensar]]</f>
        <v>465</v>
      </c>
      <c r="I15" s="117">
        <f>Taula38[[#This Row],[Producció]]*'Introducció criteris'!$I$13</f>
        <v>0</v>
      </c>
      <c r="J15" s="118">
        <f>Taula2[[#This Row],[CONSUM TOTAL]]-Taula38[[#This Row],[Autoconsum instantani]]</f>
        <v>2015</v>
      </c>
    </row>
    <row r="16" spans="1:30">
      <c r="A16" s="166">
        <f>'Introducció consums'!A16</f>
        <v>13</v>
      </c>
      <c r="B16" s="195" t="s">
        <v>33</v>
      </c>
      <c r="C16" t="str">
        <f>'Introducció consums'!C16</f>
        <v>Equipament 13</v>
      </c>
      <c r="D16" s="117">
        <f>Taula2[[#This Row],[CONSUM TOTAL]]*'Introducció criteris'!$E$13</f>
        <v>1600</v>
      </c>
      <c r="E16" s="10">
        <f>Taula38[[#This Row],[Producció]]/'Introducció criteris'!$E$21</f>
        <v>1.1851851851851851</v>
      </c>
      <c r="F16" s="35">
        <f>+Taula38[[#This Row],[Potència pic]]/'Introducció criteris'!$E$23</f>
        <v>5.9259259259259256</v>
      </c>
      <c r="G16" s="117">
        <f>IF(Taula38[[#This Row],[Tipus subministrament]]="Quadre EP",0,Taula38[[#This Row],[Producció]]*'Introducció criteris'!$G$13)</f>
        <v>1120</v>
      </c>
      <c r="H16" s="117">
        <f>Taula38[[#This Row],[Producció]]-Taula38[[#This Row],[Autoconsum instantani]]-Taula38[[#This Row],[Abocament a xarxa sense compensar]]</f>
        <v>480</v>
      </c>
      <c r="I16" s="117">
        <f>Taula38[[#This Row],[Producció]]*'Introducció criteris'!$I$13</f>
        <v>0</v>
      </c>
      <c r="J16" s="118">
        <f>Taula2[[#This Row],[CONSUM TOTAL]]-Taula38[[#This Row],[Autoconsum instantani]]</f>
        <v>2080</v>
      </c>
    </row>
    <row r="17" spans="1:10">
      <c r="A17" s="166">
        <f>'Introducció consums'!A17</f>
        <v>14</v>
      </c>
      <c r="B17" s="195" t="s">
        <v>33</v>
      </c>
      <c r="C17" t="str">
        <f>'Introducció consums'!C17</f>
        <v>Equipament 14</v>
      </c>
      <c r="D17" s="117">
        <f>Taula2[[#This Row],[CONSUM TOTAL]]*'Introducció criteris'!$E$13</f>
        <v>1650</v>
      </c>
      <c r="E17" s="10">
        <f>Taula38[[#This Row],[Producció]]/'Introducció criteris'!$E$21</f>
        <v>1.2222222222222223</v>
      </c>
      <c r="F17" s="35">
        <f>+Taula38[[#This Row],[Potència pic]]/'Introducció criteris'!$E$23</f>
        <v>6.1111111111111116</v>
      </c>
      <c r="G17" s="117">
        <f>IF(Taula38[[#This Row],[Tipus subministrament]]="Quadre EP",0,Taula38[[#This Row],[Producció]]*'Introducció criteris'!$G$13)</f>
        <v>1155</v>
      </c>
      <c r="H17" s="117">
        <f>Taula38[[#This Row],[Producció]]-Taula38[[#This Row],[Autoconsum instantani]]-Taula38[[#This Row],[Abocament a xarxa sense compensar]]</f>
        <v>495</v>
      </c>
      <c r="I17" s="117">
        <f>Taula38[[#This Row],[Producció]]*'Introducció criteris'!$I$13</f>
        <v>0</v>
      </c>
      <c r="J17" s="118">
        <f>Taula2[[#This Row],[CONSUM TOTAL]]-Taula38[[#This Row],[Autoconsum instantani]]</f>
        <v>2145</v>
      </c>
    </row>
    <row r="18" spans="1:10">
      <c r="A18" s="166">
        <f>'Introducció consums'!A18</f>
        <v>15</v>
      </c>
      <c r="B18" s="195" t="s">
        <v>33</v>
      </c>
      <c r="C18" t="str">
        <f>'Introducció consums'!C18</f>
        <v>Equipament 15</v>
      </c>
      <c r="D18" s="117">
        <f>Taula2[[#This Row],[CONSUM TOTAL]]*'Introducció criteris'!$E$13</f>
        <v>1700</v>
      </c>
      <c r="E18" s="10">
        <f>Taula38[[#This Row],[Producció]]/'Introducció criteris'!$E$21</f>
        <v>1.2592592592592593</v>
      </c>
      <c r="F18" s="35">
        <f>+Taula38[[#This Row],[Potència pic]]/'Introducció criteris'!$E$23</f>
        <v>6.2962962962962958</v>
      </c>
      <c r="G18" s="117">
        <f>IF(Taula38[[#This Row],[Tipus subministrament]]="Quadre EP",0,Taula38[[#This Row],[Producció]]*'Introducció criteris'!$G$13)</f>
        <v>1190</v>
      </c>
      <c r="H18" s="117">
        <f>Taula38[[#This Row],[Producció]]-Taula38[[#This Row],[Autoconsum instantani]]-Taula38[[#This Row],[Abocament a xarxa sense compensar]]</f>
        <v>510</v>
      </c>
      <c r="I18" s="117">
        <f>Taula38[[#This Row],[Producció]]*'Introducció criteris'!$I$13</f>
        <v>0</v>
      </c>
      <c r="J18" s="118">
        <f>Taula2[[#This Row],[CONSUM TOTAL]]-Taula38[[#This Row],[Autoconsum instantani]]</f>
        <v>2210</v>
      </c>
    </row>
    <row r="19" spans="1:10">
      <c r="A19" s="166">
        <f>'Introducció consums'!A19</f>
        <v>16</v>
      </c>
      <c r="B19" s="195" t="s">
        <v>66</v>
      </c>
      <c r="C19" t="str">
        <f>'Introducció consums'!C19</f>
        <v>Quadre EP 16</v>
      </c>
      <c r="D19" s="117">
        <f>Taula2[[#This Row],[CONSUM TOTAL]]*'Introducció criteris'!$E$13</f>
        <v>850</v>
      </c>
      <c r="E19" s="10">
        <f>Taula38[[#This Row],[Producció]]/'Introducció criteris'!$E$21</f>
        <v>0.62962962962962965</v>
      </c>
      <c r="F19" s="35">
        <f>+Taula38[[#This Row],[Potència pic]]/'Introducció criteris'!$E$23</f>
        <v>3.1481481481481479</v>
      </c>
      <c r="G19" s="117">
        <f>IF(Taula38[[#This Row],[Tipus subministrament]]="Quadre EP",0,Taula38[[#This Row],[Producció]]*'Introducció criteris'!$G$13)</f>
        <v>0</v>
      </c>
      <c r="H19" s="117">
        <f>Taula38[[#This Row],[Producció]]-Taula38[[#This Row],[Autoconsum instantani]]-Taula38[[#This Row],[Abocament a xarxa sense compensar]]</f>
        <v>850</v>
      </c>
      <c r="I19" s="117">
        <f>Taula38[[#This Row],[Producció]]*'Introducció criteris'!$I$13</f>
        <v>0</v>
      </c>
      <c r="J19" s="118">
        <f>Taula2[[#This Row],[CONSUM TOTAL]]-Taula38[[#This Row],[Autoconsum instantani]]</f>
        <v>1700</v>
      </c>
    </row>
    <row r="20" spans="1:10">
      <c r="A20" s="166">
        <f>'Introducció consums'!A20</f>
        <v>17</v>
      </c>
      <c r="B20" s="195" t="s">
        <v>66</v>
      </c>
      <c r="C20" t="str">
        <f>'Introducció consums'!C20</f>
        <v>Quadre EP 17</v>
      </c>
      <c r="D20" s="117">
        <f>Taula2[[#This Row],[CONSUM TOTAL]]*'Introducció criteris'!$E$13</f>
        <v>860</v>
      </c>
      <c r="E20" s="10">
        <f>Taula38[[#This Row],[Producció]]/'Introducció criteris'!$E$21</f>
        <v>0.63703703703703707</v>
      </c>
      <c r="F20" s="35">
        <f>+Taula38[[#This Row],[Potència pic]]/'Introducció criteris'!$E$23</f>
        <v>3.1851851851851851</v>
      </c>
      <c r="G20" s="117">
        <f>IF(Taula38[[#This Row],[Tipus subministrament]]="Quadre EP",0,Taula38[[#This Row],[Producció]]*'Introducció criteris'!$G$13)</f>
        <v>0</v>
      </c>
      <c r="H20" s="117">
        <f>Taula38[[#This Row],[Producció]]-Taula38[[#This Row],[Autoconsum instantani]]-Taula38[[#This Row],[Abocament a xarxa sense compensar]]</f>
        <v>860</v>
      </c>
      <c r="I20" s="117">
        <f>Taula38[[#This Row],[Producció]]*'Introducció criteris'!$I$13</f>
        <v>0</v>
      </c>
      <c r="J20" s="118">
        <f>Taula2[[#This Row],[CONSUM TOTAL]]-Taula38[[#This Row],[Autoconsum instantani]]</f>
        <v>1720</v>
      </c>
    </row>
    <row r="21" spans="1:10">
      <c r="A21" s="166">
        <f>'Introducció consums'!A21</f>
        <v>18</v>
      </c>
      <c r="B21" s="195" t="s">
        <v>66</v>
      </c>
      <c r="C21" t="str">
        <f>'Introducció consums'!C21</f>
        <v>Quadre EP 18</v>
      </c>
      <c r="D21" s="117">
        <f>Taula2[[#This Row],[CONSUM TOTAL]]*'Introducció criteris'!$E$13</f>
        <v>870</v>
      </c>
      <c r="E21" s="10">
        <f>Taula38[[#This Row],[Producció]]/'Introducció criteris'!$E$21</f>
        <v>0.64444444444444449</v>
      </c>
      <c r="F21" s="35">
        <f>+Taula38[[#This Row],[Potència pic]]/'Introducció criteris'!$E$23</f>
        <v>3.2222222222222223</v>
      </c>
      <c r="G21" s="117">
        <f>IF(Taula38[[#This Row],[Tipus subministrament]]="Quadre EP",0,Taula38[[#This Row],[Producció]]*'Introducció criteris'!$G$13)</f>
        <v>0</v>
      </c>
      <c r="H21" s="117">
        <f>Taula38[[#This Row],[Producció]]-Taula38[[#This Row],[Autoconsum instantani]]-Taula38[[#This Row],[Abocament a xarxa sense compensar]]</f>
        <v>870</v>
      </c>
      <c r="I21" s="117">
        <f>Taula38[[#This Row],[Producció]]*'Introducció criteris'!$I$13</f>
        <v>0</v>
      </c>
      <c r="J21" s="118">
        <f>Taula2[[#This Row],[CONSUM TOTAL]]-Taula38[[#This Row],[Autoconsum instantani]]</f>
        <v>1740</v>
      </c>
    </row>
    <row r="22" spans="1:10">
      <c r="A22" s="166">
        <f>'Introducció consums'!A22</f>
        <v>19</v>
      </c>
      <c r="B22" s="195" t="s">
        <v>66</v>
      </c>
      <c r="C22" t="str">
        <f>'Introducció consums'!C22</f>
        <v>Quadre EP 19</v>
      </c>
      <c r="D22" s="117">
        <f>Taula2[[#This Row],[CONSUM TOTAL]]*'Introducció criteris'!$E$13</f>
        <v>880</v>
      </c>
      <c r="E22" s="10">
        <f>Taula38[[#This Row],[Producció]]/'Introducció criteris'!$E$21</f>
        <v>0.6518518518518519</v>
      </c>
      <c r="F22" s="35">
        <f>+Taula38[[#This Row],[Potència pic]]/'Introducció criteris'!$E$23</f>
        <v>3.2592592592592595</v>
      </c>
      <c r="G22" s="117">
        <f>IF(Taula38[[#This Row],[Tipus subministrament]]="Quadre EP",0,Taula38[[#This Row],[Producció]]*'Introducció criteris'!$G$13)</f>
        <v>0</v>
      </c>
      <c r="H22" s="117">
        <f>Taula38[[#This Row],[Producció]]-Taula38[[#This Row],[Autoconsum instantani]]-Taula38[[#This Row],[Abocament a xarxa sense compensar]]</f>
        <v>880</v>
      </c>
      <c r="I22" s="117">
        <f>Taula38[[#This Row],[Producció]]*'Introducció criteris'!$I$13</f>
        <v>0</v>
      </c>
      <c r="J22" s="118">
        <f>Taula2[[#This Row],[CONSUM TOTAL]]-Taula38[[#This Row],[Autoconsum instantani]]</f>
        <v>1760</v>
      </c>
    </row>
    <row r="23" spans="1:10">
      <c r="A23" s="166">
        <f>'Introducció consums'!A23</f>
        <v>20</v>
      </c>
      <c r="B23" s="195" t="s">
        <v>66</v>
      </c>
      <c r="C23" t="str">
        <f>'Introducció consums'!C23</f>
        <v>Quadre EP 20</v>
      </c>
      <c r="D23" s="117">
        <f>Taula2[[#This Row],[CONSUM TOTAL]]*'Introducció criteris'!$E$13</f>
        <v>890</v>
      </c>
      <c r="E23" s="10">
        <f>Taula38[[#This Row],[Producció]]/'Introducció criteris'!$E$21</f>
        <v>0.65925925925925921</v>
      </c>
      <c r="F23" s="35">
        <f>+Taula38[[#This Row],[Potència pic]]/'Introducció criteris'!$E$23</f>
        <v>3.2962962962962958</v>
      </c>
      <c r="G23" s="117">
        <f>IF(Taula38[[#This Row],[Tipus subministrament]]="Quadre EP",0,Taula38[[#This Row],[Producció]]*'Introducció criteris'!$G$13)</f>
        <v>0</v>
      </c>
      <c r="H23" s="117">
        <f>Taula38[[#This Row],[Producció]]-Taula38[[#This Row],[Autoconsum instantani]]-Taula38[[#This Row],[Abocament a xarxa sense compensar]]</f>
        <v>890</v>
      </c>
      <c r="I23" s="117">
        <f>Taula38[[#This Row],[Producció]]*'Introducció criteris'!$I$13</f>
        <v>0</v>
      </c>
      <c r="J23" s="118">
        <f>Taula2[[#This Row],[CONSUM TOTAL]]-Taula38[[#This Row],[Autoconsum instantani]]</f>
        <v>1780</v>
      </c>
    </row>
    <row r="24" spans="1:10">
      <c r="A24" s="166">
        <f>'Introducció consums'!A24</f>
        <v>21</v>
      </c>
      <c r="B24" s="195" t="s">
        <v>66</v>
      </c>
      <c r="C24" t="str">
        <f>'Introducció consums'!C24</f>
        <v>Quadre EP 21</v>
      </c>
      <c r="D24" s="117">
        <f>Taula2[[#This Row],[CONSUM TOTAL]]*'Introducció criteris'!$E$13</f>
        <v>900</v>
      </c>
      <c r="E24" s="10">
        <f>Taula38[[#This Row],[Producció]]/'Introducció criteris'!$E$21</f>
        <v>0.66666666666666663</v>
      </c>
      <c r="F24" s="35">
        <f>+Taula38[[#This Row],[Potència pic]]/'Introducció criteris'!$E$23</f>
        <v>3.333333333333333</v>
      </c>
      <c r="G24" s="117">
        <f>IF(Taula38[[#This Row],[Tipus subministrament]]="Quadre EP",0,Taula38[[#This Row],[Producció]]*'Introducció criteris'!$G$13)</f>
        <v>0</v>
      </c>
      <c r="H24" s="117">
        <f>Taula38[[#This Row],[Producció]]-Taula38[[#This Row],[Autoconsum instantani]]-Taula38[[#This Row],[Abocament a xarxa sense compensar]]</f>
        <v>900</v>
      </c>
      <c r="I24" s="117">
        <f>Taula38[[#This Row],[Producció]]*'Introducció criteris'!$I$13</f>
        <v>0</v>
      </c>
      <c r="J24" s="118">
        <f>Taula2[[#This Row],[CONSUM TOTAL]]-Taula38[[#This Row],[Autoconsum instantani]]</f>
        <v>1800</v>
      </c>
    </row>
    <row r="25" spans="1:10">
      <c r="A25" s="166">
        <f>'Introducció consums'!A25</f>
        <v>22</v>
      </c>
      <c r="B25" s="195" t="s">
        <v>66</v>
      </c>
      <c r="C25" t="str">
        <f>'Introducció consums'!C25</f>
        <v>Quadre EP 22</v>
      </c>
      <c r="D25" s="117">
        <f>Taula2[[#This Row],[CONSUM TOTAL]]*'Introducció criteris'!$E$13</f>
        <v>910</v>
      </c>
      <c r="E25" s="10">
        <f>Taula38[[#This Row],[Producció]]/'Introducció criteris'!$E$21</f>
        <v>0.67407407407407405</v>
      </c>
      <c r="F25" s="35">
        <f>+Taula38[[#This Row],[Potència pic]]/'Introducció criteris'!$E$23</f>
        <v>3.3703703703703702</v>
      </c>
      <c r="G25" s="117">
        <f>IF(Taula38[[#This Row],[Tipus subministrament]]="Quadre EP",0,Taula38[[#This Row],[Producció]]*'Introducció criteris'!$G$13)</f>
        <v>0</v>
      </c>
      <c r="H25" s="117">
        <f>Taula38[[#This Row],[Producció]]-Taula38[[#This Row],[Autoconsum instantani]]-Taula38[[#This Row],[Abocament a xarxa sense compensar]]</f>
        <v>910</v>
      </c>
      <c r="I25" s="117">
        <f>Taula38[[#This Row],[Producció]]*'Introducció criteris'!$I$13</f>
        <v>0</v>
      </c>
      <c r="J25" s="118">
        <f>Taula2[[#This Row],[CONSUM TOTAL]]-Taula38[[#This Row],[Autoconsum instantani]]</f>
        <v>1820</v>
      </c>
    </row>
    <row r="26" spans="1:10">
      <c r="A26" s="166">
        <f>'Introducció consums'!A26</f>
        <v>23</v>
      </c>
      <c r="B26" s="195" t="s">
        <v>66</v>
      </c>
      <c r="C26" t="str">
        <f>'Introducció consums'!C26</f>
        <v>Quadre EP 23</v>
      </c>
      <c r="D26" s="117">
        <f>Taula2[[#This Row],[CONSUM TOTAL]]*'Introducció criteris'!$E$13</f>
        <v>920</v>
      </c>
      <c r="E26" s="10">
        <f>Taula38[[#This Row],[Producció]]/'Introducció criteris'!$E$21</f>
        <v>0.68148148148148147</v>
      </c>
      <c r="F26" s="35">
        <f>+Taula38[[#This Row],[Potència pic]]/'Introducció criteris'!$E$23</f>
        <v>3.407407407407407</v>
      </c>
      <c r="G26" s="117">
        <f>IF(Taula38[[#This Row],[Tipus subministrament]]="Quadre EP",0,Taula38[[#This Row],[Producció]]*'Introducció criteris'!$G$13)</f>
        <v>0</v>
      </c>
      <c r="H26" s="117">
        <f>Taula38[[#This Row],[Producció]]-Taula38[[#This Row],[Autoconsum instantani]]-Taula38[[#This Row],[Abocament a xarxa sense compensar]]</f>
        <v>920</v>
      </c>
      <c r="I26" s="117">
        <f>Taula38[[#This Row],[Producció]]*'Introducció criteris'!$I$13</f>
        <v>0</v>
      </c>
      <c r="J26" s="118">
        <f>Taula2[[#This Row],[CONSUM TOTAL]]-Taula38[[#This Row],[Autoconsum instantani]]</f>
        <v>1840</v>
      </c>
    </row>
    <row r="27" spans="1:10">
      <c r="A27" s="166">
        <f>'Introducció consums'!A27</f>
        <v>24</v>
      </c>
      <c r="B27" s="195" t="s">
        <v>66</v>
      </c>
      <c r="C27" t="str">
        <f>'Introducció consums'!C27</f>
        <v>Quadre EP 24</v>
      </c>
      <c r="D27" s="117">
        <f>Taula2[[#This Row],[CONSUM TOTAL]]*'Introducció criteris'!$E$13</f>
        <v>930</v>
      </c>
      <c r="E27" s="10">
        <f>Taula38[[#This Row],[Producció]]/'Introducció criteris'!$E$21</f>
        <v>0.68888888888888888</v>
      </c>
      <c r="F27" s="35">
        <f>+Taula38[[#This Row],[Potència pic]]/'Introducció criteris'!$E$23</f>
        <v>3.4444444444444442</v>
      </c>
      <c r="G27" s="117">
        <f>IF(Taula38[[#This Row],[Tipus subministrament]]="Quadre EP",0,Taula38[[#This Row],[Producció]]*'Introducció criteris'!$G$13)</f>
        <v>0</v>
      </c>
      <c r="H27" s="117">
        <f>Taula38[[#This Row],[Producció]]-Taula38[[#This Row],[Autoconsum instantani]]-Taula38[[#This Row],[Abocament a xarxa sense compensar]]</f>
        <v>930</v>
      </c>
      <c r="I27" s="117">
        <f>Taula38[[#This Row],[Producció]]*'Introducció criteris'!$I$13</f>
        <v>0</v>
      </c>
      <c r="J27" s="118">
        <f>Taula2[[#This Row],[CONSUM TOTAL]]-Taula38[[#This Row],[Autoconsum instantani]]</f>
        <v>1860</v>
      </c>
    </row>
    <row r="28" spans="1:10">
      <c r="A28" s="166">
        <f>'Introducció consums'!A28</f>
        <v>25</v>
      </c>
      <c r="B28" s="195" t="s">
        <v>66</v>
      </c>
      <c r="C28" t="str">
        <f>'Introducció consums'!C28</f>
        <v>Quadre EP 25</v>
      </c>
      <c r="D28" s="117">
        <f>Taula2[[#This Row],[CONSUM TOTAL]]*'Introducció criteris'!$E$13</f>
        <v>940</v>
      </c>
      <c r="E28" s="10">
        <f>Taula38[[#This Row],[Producció]]/'Introducció criteris'!$E$21</f>
        <v>0.6962962962962963</v>
      </c>
      <c r="F28" s="35">
        <f>+Taula38[[#This Row],[Potència pic]]/'Introducció criteris'!$E$23</f>
        <v>3.4814814814814814</v>
      </c>
      <c r="G28" s="117">
        <f>IF(Taula38[[#This Row],[Tipus subministrament]]="Quadre EP",0,Taula38[[#This Row],[Producció]]*'Introducció criteris'!$G$13)</f>
        <v>0</v>
      </c>
      <c r="H28" s="117">
        <f>Taula38[[#This Row],[Producció]]-Taula38[[#This Row],[Autoconsum instantani]]-Taula38[[#This Row],[Abocament a xarxa sense compensar]]</f>
        <v>940</v>
      </c>
      <c r="I28" s="117">
        <f>Taula38[[#This Row],[Producció]]*'Introducció criteris'!$I$13</f>
        <v>0</v>
      </c>
      <c r="J28" s="118">
        <f>Taula2[[#This Row],[CONSUM TOTAL]]-Taula38[[#This Row],[Autoconsum instantani]]</f>
        <v>1880</v>
      </c>
    </row>
    <row r="29" spans="1:10">
      <c r="A29" s="166">
        <f>'Introducció consums'!A29</f>
        <v>26</v>
      </c>
      <c r="B29" s="195" t="s">
        <v>66</v>
      </c>
      <c r="C29" t="str">
        <f>'Introducció consums'!C29</f>
        <v>Quadre EP 26</v>
      </c>
      <c r="D29" s="117">
        <f>Taula2[[#This Row],[CONSUM TOTAL]]*'Introducció criteris'!$E$13</f>
        <v>950</v>
      </c>
      <c r="E29" s="10">
        <f>Taula38[[#This Row],[Producció]]/'Introducció criteris'!$E$21</f>
        <v>0.70370370370370372</v>
      </c>
      <c r="F29" s="35">
        <f>+Taula38[[#This Row],[Potència pic]]/'Introducció criteris'!$E$23</f>
        <v>3.5185185185185186</v>
      </c>
      <c r="G29" s="117">
        <f>IF(Taula38[[#This Row],[Tipus subministrament]]="Quadre EP",0,Taula38[[#This Row],[Producció]]*'Introducció criteris'!$G$13)</f>
        <v>0</v>
      </c>
      <c r="H29" s="117">
        <f>Taula38[[#This Row],[Producció]]-Taula38[[#This Row],[Autoconsum instantani]]-Taula38[[#This Row],[Abocament a xarxa sense compensar]]</f>
        <v>950</v>
      </c>
      <c r="I29" s="117">
        <f>Taula38[[#This Row],[Producció]]*'Introducció criteris'!$I$13</f>
        <v>0</v>
      </c>
      <c r="J29" s="118">
        <f>Taula2[[#This Row],[CONSUM TOTAL]]-Taula38[[#This Row],[Autoconsum instantani]]</f>
        <v>1900</v>
      </c>
    </row>
    <row r="30" spans="1:10">
      <c r="A30" s="166">
        <f>'Introducció consums'!A30</f>
        <v>27</v>
      </c>
      <c r="B30" s="195" t="s">
        <v>66</v>
      </c>
      <c r="C30" t="str">
        <f>'Introducció consums'!C30</f>
        <v>Quadre EP 27</v>
      </c>
      <c r="D30" s="117">
        <f>Taula2[[#This Row],[CONSUM TOTAL]]*'Introducció criteris'!$E$13</f>
        <v>960</v>
      </c>
      <c r="E30" s="10">
        <f>Taula38[[#This Row],[Producció]]/'Introducció criteris'!$E$21</f>
        <v>0.71111111111111114</v>
      </c>
      <c r="F30" s="35">
        <f>+Taula38[[#This Row],[Potència pic]]/'Introducció criteris'!$E$23</f>
        <v>3.5555555555555554</v>
      </c>
      <c r="G30" s="117">
        <f>IF(Taula38[[#This Row],[Tipus subministrament]]="Quadre EP",0,Taula38[[#This Row],[Producció]]*'Introducció criteris'!$G$13)</f>
        <v>0</v>
      </c>
      <c r="H30" s="117">
        <f>Taula38[[#This Row],[Producció]]-Taula38[[#This Row],[Autoconsum instantani]]-Taula38[[#This Row],[Abocament a xarxa sense compensar]]</f>
        <v>960</v>
      </c>
      <c r="I30" s="117">
        <f>Taula38[[#This Row],[Producció]]*'Introducció criteris'!$I$13</f>
        <v>0</v>
      </c>
      <c r="J30" s="118">
        <f>Taula2[[#This Row],[CONSUM TOTAL]]-Taula38[[#This Row],[Autoconsum instantani]]</f>
        <v>1920</v>
      </c>
    </row>
    <row r="31" spans="1:10">
      <c r="A31" s="166">
        <f>'Introducció consums'!A31</f>
        <v>28</v>
      </c>
      <c r="B31" s="195" t="s">
        <v>66</v>
      </c>
      <c r="C31" t="str">
        <f>'Introducció consums'!C31</f>
        <v>Quadre EP 28</v>
      </c>
      <c r="D31" s="117">
        <f>Taula2[[#This Row],[CONSUM TOTAL]]*'Introducció criteris'!$E$13</f>
        <v>970</v>
      </c>
      <c r="E31" s="10">
        <f>Taula38[[#This Row],[Producció]]/'Introducció criteris'!$E$21</f>
        <v>0.71851851851851856</v>
      </c>
      <c r="F31" s="35">
        <f>+Taula38[[#This Row],[Potència pic]]/'Introducció criteris'!$E$23</f>
        <v>3.5925925925925926</v>
      </c>
      <c r="G31" s="117">
        <f>IF(Taula38[[#This Row],[Tipus subministrament]]="Quadre EP",0,Taula38[[#This Row],[Producció]]*'Introducció criteris'!$G$13)</f>
        <v>0</v>
      </c>
      <c r="H31" s="117">
        <f>Taula38[[#This Row],[Producció]]-Taula38[[#This Row],[Autoconsum instantani]]-Taula38[[#This Row],[Abocament a xarxa sense compensar]]</f>
        <v>970</v>
      </c>
      <c r="I31" s="117">
        <f>Taula38[[#This Row],[Producció]]*'Introducció criteris'!$I$13</f>
        <v>0</v>
      </c>
      <c r="J31" s="118">
        <f>Taula2[[#This Row],[CONSUM TOTAL]]-Taula38[[#This Row],[Autoconsum instantani]]</f>
        <v>1940</v>
      </c>
    </row>
    <row r="32" spans="1:10">
      <c r="A32" s="166">
        <f>'Introducció consums'!A32</f>
        <v>29</v>
      </c>
      <c r="B32" s="195" t="s">
        <v>66</v>
      </c>
      <c r="C32" t="str">
        <f>'Introducció consums'!C32</f>
        <v>Quadre EP 29</v>
      </c>
      <c r="D32" s="117">
        <f>Taula2[[#This Row],[CONSUM TOTAL]]*'Introducció criteris'!$E$13</f>
        <v>980</v>
      </c>
      <c r="E32" s="10">
        <f>Taula38[[#This Row],[Producció]]/'Introducció criteris'!$E$21</f>
        <v>0.72592592592592597</v>
      </c>
      <c r="F32" s="35">
        <f>+Taula38[[#This Row],[Potència pic]]/'Introducció criteris'!$E$23</f>
        <v>3.6296296296296298</v>
      </c>
      <c r="G32" s="117">
        <f>IF(Taula38[[#This Row],[Tipus subministrament]]="Quadre EP",0,Taula38[[#This Row],[Producció]]*'Introducció criteris'!$G$13)</f>
        <v>0</v>
      </c>
      <c r="H32" s="117">
        <f>Taula38[[#This Row],[Producció]]-Taula38[[#This Row],[Autoconsum instantani]]-Taula38[[#This Row],[Abocament a xarxa sense compensar]]</f>
        <v>980</v>
      </c>
      <c r="I32" s="117">
        <f>Taula38[[#This Row],[Producció]]*'Introducció criteris'!$I$13</f>
        <v>0</v>
      </c>
      <c r="J32" s="118">
        <f>Taula2[[#This Row],[CONSUM TOTAL]]-Taula38[[#This Row],[Autoconsum instantani]]</f>
        <v>1960</v>
      </c>
    </row>
    <row r="33" spans="1:10">
      <c r="A33" s="166">
        <f>'Introducció consums'!A33</f>
        <v>30</v>
      </c>
      <c r="B33" s="195" t="s">
        <v>66</v>
      </c>
      <c r="C33" t="str">
        <f>'Introducció consums'!C33</f>
        <v>Quadre EP 30</v>
      </c>
      <c r="D33" s="117">
        <f>Taula2[[#This Row],[CONSUM TOTAL]]*'Introducció criteris'!$E$13</f>
        <v>990</v>
      </c>
      <c r="E33" s="10">
        <f>Taula38[[#This Row],[Producció]]/'Introducció criteris'!$E$21</f>
        <v>0.73333333333333328</v>
      </c>
      <c r="F33" s="35">
        <f>+Taula38[[#This Row],[Potència pic]]/'Introducció criteris'!$E$23</f>
        <v>3.6666666666666661</v>
      </c>
      <c r="G33" s="117">
        <f>IF(Taula38[[#This Row],[Tipus subministrament]]="Quadre EP",0,Taula38[[#This Row],[Producció]]*'Introducció criteris'!$G$13)</f>
        <v>0</v>
      </c>
      <c r="H33" s="117">
        <f>Taula38[[#This Row],[Producció]]-Taula38[[#This Row],[Autoconsum instantani]]-Taula38[[#This Row],[Abocament a xarxa sense compensar]]</f>
        <v>990</v>
      </c>
      <c r="I33" s="117">
        <f>Taula38[[#This Row],[Producció]]*'Introducció criteris'!$I$13</f>
        <v>0</v>
      </c>
      <c r="J33" s="118">
        <f>Taula2[[#This Row],[CONSUM TOTAL]]-Taula38[[#This Row],[Autoconsum instantani]]</f>
        <v>1980</v>
      </c>
    </row>
    <row r="34" spans="1:10">
      <c r="A34" s="166">
        <f>'Introducció consums'!A34</f>
        <v>31</v>
      </c>
      <c r="B34" s="195" t="s">
        <v>66</v>
      </c>
      <c r="C34" t="str">
        <f>'Introducció consums'!C34</f>
        <v>Quadre EP 31</v>
      </c>
      <c r="D34" s="117">
        <f>Taula2[[#This Row],[CONSUM TOTAL]]*'Introducció criteris'!$E$13</f>
        <v>1000</v>
      </c>
      <c r="E34" s="10">
        <f>Taula38[[#This Row],[Producció]]/'Introducció criteris'!$E$21</f>
        <v>0.7407407407407407</v>
      </c>
      <c r="F34" s="35">
        <f>+Taula38[[#This Row],[Potència pic]]/'Introducció criteris'!$E$23</f>
        <v>3.7037037037037033</v>
      </c>
      <c r="G34" s="117">
        <f>IF(Taula38[[#This Row],[Tipus subministrament]]="Quadre EP",0,Taula38[[#This Row],[Producció]]*'Introducció criteris'!$G$13)</f>
        <v>0</v>
      </c>
      <c r="H34" s="117">
        <f>Taula38[[#This Row],[Producció]]-Taula38[[#This Row],[Autoconsum instantani]]-Taula38[[#This Row],[Abocament a xarxa sense compensar]]</f>
        <v>1000</v>
      </c>
      <c r="I34" s="117">
        <f>Taula38[[#This Row],[Producció]]*'Introducció criteris'!$I$13</f>
        <v>0</v>
      </c>
      <c r="J34" s="118">
        <f>Taula2[[#This Row],[CONSUM TOTAL]]-Taula38[[#This Row],[Autoconsum instantani]]</f>
        <v>2000</v>
      </c>
    </row>
    <row r="35" spans="1:10">
      <c r="A35" s="166">
        <f>'Introducció consums'!A35</f>
        <v>32</v>
      </c>
      <c r="B35" s="195" t="s">
        <v>66</v>
      </c>
      <c r="C35" t="str">
        <f>'Introducció consums'!C35</f>
        <v>Quadre EP 32</v>
      </c>
      <c r="D35" s="117">
        <f>Taula2[[#This Row],[CONSUM TOTAL]]*'Introducció criteris'!$E$13</f>
        <v>1010</v>
      </c>
      <c r="E35" s="10">
        <f>Taula38[[#This Row],[Producció]]/'Introducció criteris'!$E$21</f>
        <v>0.74814814814814812</v>
      </c>
      <c r="F35" s="35">
        <f>+Taula38[[#This Row],[Potència pic]]/'Introducció criteris'!$E$23</f>
        <v>3.7407407407407405</v>
      </c>
      <c r="G35" s="117">
        <f>IF(Taula38[[#This Row],[Tipus subministrament]]="Quadre EP",0,Taula38[[#This Row],[Producció]]*'Introducció criteris'!$G$13)</f>
        <v>0</v>
      </c>
      <c r="H35" s="117">
        <f>Taula38[[#This Row],[Producció]]-Taula38[[#This Row],[Autoconsum instantani]]-Taula38[[#This Row],[Abocament a xarxa sense compensar]]</f>
        <v>1010</v>
      </c>
      <c r="I35" s="117">
        <f>Taula38[[#This Row],[Producció]]*'Introducció criteris'!$I$13</f>
        <v>0</v>
      </c>
      <c r="J35" s="118">
        <f>Taula2[[#This Row],[CONSUM TOTAL]]-Taula38[[#This Row],[Autoconsum instantani]]</f>
        <v>2020</v>
      </c>
    </row>
    <row r="36" spans="1:10">
      <c r="A36" s="166">
        <f>'Introducció consums'!A36</f>
        <v>33</v>
      </c>
      <c r="B36" s="195" t="s">
        <v>66</v>
      </c>
      <c r="C36" t="str">
        <f>'Introducció consums'!C36</f>
        <v>Quadre EP 33</v>
      </c>
      <c r="D36" s="117">
        <f>Taula2[[#This Row],[CONSUM TOTAL]]*'Introducció criteris'!$E$13</f>
        <v>1020</v>
      </c>
      <c r="E36" s="10">
        <f>Taula38[[#This Row],[Producció]]/'Introducció criteris'!$E$21</f>
        <v>0.75555555555555554</v>
      </c>
      <c r="F36" s="35">
        <f>+Taula38[[#This Row],[Potència pic]]/'Introducció criteris'!$E$23</f>
        <v>3.7777777777777777</v>
      </c>
      <c r="G36" s="117">
        <f>IF(Taula38[[#This Row],[Tipus subministrament]]="Quadre EP",0,Taula38[[#This Row],[Producció]]*'Introducció criteris'!$G$13)</f>
        <v>0</v>
      </c>
      <c r="H36" s="117">
        <f>Taula38[[#This Row],[Producció]]-Taula38[[#This Row],[Autoconsum instantani]]-Taula38[[#This Row],[Abocament a xarxa sense compensar]]</f>
        <v>1020</v>
      </c>
      <c r="I36" s="117">
        <f>Taula38[[#This Row],[Producció]]*'Introducció criteris'!$I$13</f>
        <v>0</v>
      </c>
      <c r="J36" s="118">
        <f>Taula2[[#This Row],[CONSUM TOTAL]]-Taula38[[#This Row],[Autoconsum instantani]]</f>
        <v>2040</v>
      </c>
    </row>
    <row r="37" spans="1:10">
      <c r="A37" s="166">
        <f>'Introducció consums'!A37</f>
        <v>34</v>
      </c>
      <c r="B37" s="195" t="s">
        <v>66</v>
      </c>
      <c r="C37" t="str">
        <f>'Introducció consums'!C37</f>
        <v>Quadre EP 34</v>
      </c>
      <c r="D37" s="117">
        <f>Taula2[[#This Row],[CONSUM TOTAL]]*'Introducció criteris'!$E$13</f>
        <v>1030</v>
      </c>
      <c r="E37" s="10">
        <f>Taula38[[#This Row],[Producció]]/'Introducció criteris'!$E$21</f>
        <v>0.76296296296296295</v>
      </c>
      <c r="F37" s="35">
        <f>+Taula38[[#This Row],[Potència pic]]/'Introducció criteris'!$E$23</f>
        <v>3.8148148148148144</v>
      </c>
      <c r="G37" s="117">
        <f>IF(Taula38[[#This Row],[Tipus subministrament]]="Quadre EP",0,Taula38[[#This Row],[Producció]]*'Introducció criteris'!$G$13)</f>
        <v>0</v>
      </c>
      <c r="H37" s="117">
        <f>Taula38[[#This Row],[Producció]]-Taula38[[#This Row],[Autoconsum instantani]]-Taula38[[#This Row],[Abocament a xarxa sense compensar]]</f>
        <v>1030</v>
      </c>
      <c r="I37" s="117">
        <f>Taula38[[#This Row],[Producció]]*'Introducció criteris'!$I$13</f>
        <v>0</v>
      </c>
      <c r="J37" s="118">
        <f>Taula2[[#This Row],[CONSUM TOTAL]]-Taula38[[#This Row],[Autoconsum instantani]]</f>
        <v>2060</v>
      </c>
    </row>
    <row r="38" spans="1:10">
      <c r="A38" s="166">
        <f>'Introducció consums'!A38</f>
        <v>35</v>
      </c>
      <c r="B38" s="195" t="s">
        <v>66</v>
      </c>
      <c r="C38" t="str">
        <f>'Introducció consums'!C38</f>
        <v>Quadre EP 35</v>
      </c>
      <c r="D38" s="117">
        <f>Taula2[[#This Row],[CONSUM TOTAL]]*'Introducció criteris'!$E$13</f>
        <v>1040</v>
      </c>
      <c r="E38" s="10">
        <f>Taula38[[#This Row],[Producció]]/'Introducció criteris'!$E$21</f>
        <v>0.77037037037037037</v>
      </c>
      <c r="F38" s="35">
        <f>+Taula38[[#This Row],[Potència pic]]/'Introducció criteris'!$E$23</f>
        <v>3.8518518518518516</v>
      </c>
      <c r="G38" s="117">
        <f>IF(Taula38[[#This Row],[Tipus subministrament]]="Quadre EP",0,Taula38[[#This Row],[Producció]]*'Introducció criteris'!$G$13)</f>
        <v>0</v>
      </c>
      <c r="H38" s="117">
        <f>Taula38[[#This Row],[Producció]]-Taula38[[#This Row],[Autoconsum instantani]]-Taula38[[#This Row],[Abocament a xarxa sense compensar]]</f>
        <v>1040</v>
      </c>
      <c r="I38" s="117">
        <f>Taula38[[#This Row],[Producció]]*'Introducció criteris'!$I$13</f>
        <v>0</v>
      </c>
      <c r="J38" s="118">
        <f>Taula2[[#This Row],[CONSUM TOTAL]]-Taula38[[#This Row],[Autoconsum instantani]]</f>
        <v>2080</v>
      </c>
    </row>
    <row r="39" spans="1:10">
      <c r="A39" s="166">
        <f>'Introducció consums'!A39</f>
        <v>36</v>
      </c>
      <c r="B39" s="195" t="s">
        <v>66</v>
      </c>
      <c r="C39" t="str">
        <f>'Introducció consums'!C39</f>
        <v>Quadre EP 36</v>
      </c>
      <c r="D39" s="117">
        <f>Taula2[[#This Row],[CONSUM TOTAL]]*'Introducció criteris'!$E$13</f>
        <v>1050</v>
      </c>
      <c r="E39" s="10">
        <f>Taula38[[#This Row],[Producció]]/'Introducció criteris'!$E$21</f>
        <v>0.77777777777777779</v>
      </c>
      <c r="F39" s="35">
        <f>+Taula38[[#This Row],[Potència pic]]/'Introducció criteris'!$E$23</f>
        <v>3.8888888888888888</v>
      </c>
      <c r="G39" s="117">
        <f>IF(Taula38[[#This Row],[Tipus subministrament]]="Quadre EP",0,Taula38[[#This Row],[Producció]]*'Introducció criteris'!$G$13)</f>
        <v>0</v>
      </c>
      <c r="H39" s="117">
        <f>Taula38[[#This Row],[Producció]]-Taula38[[#This Row],[Autoconsum instantani]]-Taula38[[#This Row],[Abocament a xarxa sense compensar]]</f>
        <v>1050</v>
      </c>
      <c r="I39" s="117">
        <f>Taula38[[#This Row],[Producció]]*'Introducció criteris'!$I$13</f>
        <v>0</v>
      </c>
      <c r="J39" s="118">
        <f>Taula2[[#This Row],[CONSUM TOTAL]]-Taula38[[#This Row],[Autoconsum instantani]]</f>
        <v>2100</v>
      </c>
    </row>
    <row r="40" spans="1:10">
      <c r="A40" s="166">
        <f>'Introducció consums'!A40</f>
        <v>37</v>
      </c>
      <c r="B40" s="195" t="s">
        <v>66</v>
      </c>
      <c r="C40" t="str">
        <f>'Introducció consums'!C40</f>
        <v>Quadre EP 37</v>
      </c>
      <c r="D40" s="117">
        <f>Taula2[[#This Row],[CONSUM TOTAL]]*'Introducció criteris'!$E$13</f>
        <v>1060</v>
      </c>
      <c r="E40" s="10">
        <f>Taula38[[#This Row],[Producció]]/'Introducció criteris'!$E$21</f>
        <v>0.78518518518518521</v>
      </c>
      <c r="F40" s="35">
        <f>+Taula38[[#This Row],[Potència pic]]/'Introducció criteris'!$E$23</f>
        <v>3.925925925925926</v>
      </c>
      <c r="G40" s="117">
        <f>IF(Taula38[[#This Row],[Tipus subministrament]]="Quadre EP",0,Taula38[[#This Row],[Producció]]*'Introducció criteris'!$G$13)</f>
        <v>0</v>
      </c>
      <c r="H40" s="117">
        <f>Taula38[[#This Row],[Producció]]-Taula38[[#This Row],[Autoconsum instantani]]-Taula38[[#This Row],[Abocament a xarxa sense compensar]]</f>
        <v>1060</v>
      </c>
      <c r="I40" s="117">
        <f>Taula38[[#This Row],[Producció]]*'Introducció criteris'!$I$13</f>
        <v>0</v>
      </c>
      <c r="J40" s="118">
        <f>Taula2[[#This Row],[CONSUM TOTAL]]-Taula38[[#This Row],[Autoconsum instantani]]</f>
        <v>2120</v>
      </c>
    </row>
    <row r="41" spans="1:10">
      <c r="A41" s="166">
        <f>'Introducció consums'!A41</f>
        <v>38</v>
      </c>
      <c r="B41" s="195" t="s">
        <v>66</v>
      </c>
      <c r="C41" t="str">
        <f>'Introducció consums'!C41</f>
        <v>Quadre EP 38</v>
      </c>
      <c r="D41" s="117">
        <f>Taula2[[#This Row],[CONSUM TOTAL]]*'Introducció criteris'!$E$13</f>
        <v>1070</v>
      </c>
      <c r="E41" s="10">
        <f>Taula38[[#This Row],[Producció]]/'Introducció criteris'!$E$21</f>
        <v>0.79259259259259263</v>
      </c>
      <c r="F41" s="35">
        <f>+Taula38[[#This Row],[Potència pic]]/'Introducció criteris'!$E$23</f>
        <v>3.9629629629629628</v>
      </c>
      <c r="G41" s="117">
        <f>IF(Taula38[[#This Row],[Tipus subministrament]]="Quadre EP",0,Taula38[[#This Row],[Producció]]*'Introducció criteris'!$G$13)</f>
        <v>0</v>
      </c>
      <c r="H41" s="117">
        <f>Taula38[[#This Row],[Producció]]-Taula38[[#This Row],[Autoconsum instantani]]-Taula38[[#This Row],[Abocament a xarxa sense compensar]]</f>
        <v>1070</v>
      </c>
      <c r="I41" s="117">
        <f>Taula38[[#This Row],[Producció]]*'Introducció criteris'!$I$13</f>
        <v>0</v>
      </c>
      <c r="J41" s="118">
        <f>Taula2[[#This Row],[CONSUM TOTAL]]-Taula38[[#This Row],[Autoconsum instantani]]</f>
        <v>2140</v>
      </c>
    </row>
    <row r="42" spans="1:10">
      <c r="A42" s="166">
        <f>'Introducció consums'!A42</f>
        <v>39</v>
      </c>
      <c r="B42" s="195" t="s">
        <v>66</v>
      </c>
      <c r="C42" t="str">
        <f>'Introducció consums'!C42</f>
        <v>Quadre EP 39</v>
      </c>
      <c r="D42" s="117">
        <f>Taula2[[#This Row],[CONSUM TOTAL]]*'Introducció criteris'!$E$13</f>
        <v>1080</v>
      </c>
      <c r="E42" s="10">
        <f>Taula38[[#This Row],[Producció]]/'Introducció criteris'!$E$21</f>
        <v>0.8</v>
      </c>
      <c r="F42" s="35">
        <f>+Taula38[[#This Row],[Potència pic]]/'Introducció criteris'!$E$23</f>
        <v>4</v>
      </c>
      <c r="G42" s="117">
        <f>IF(Taula38[[#This Row],[Tipus subministrament]]="Quadre EP",0,Taula38[[#This Row],[Producció]]*'Introducció criteris'!$G$13)</f>
        <v>0</v>
      </c>
      <c r="H42" s="117">
        <f>Taula38[[#This Row],[Producció]]-Taula38[[#This Row],[Autoconsum instantani]]-Taula38[[#This Row],[Abocament a xarxa sense compensar]]</f>
        <v>1080</v>
      </c>
      <c r="I42" s="117">
        <f>Taula38[[#This Row],[Producció]]*'Introducció criteris'!$I$13</f>
        <v>0</v>
      </c>
      <c r="J42" s="118">
        <f>Taula2[[#This Row],[CONSUM TOTAL]]-Taula38[[#This Row],[Autoconsum instantani]]</f>
        <v>2160</v>
      </c>
    </row>
    <row r="43" spans="1:10">
      <c r="A43" s="166">
        <f>'Introducció consums'!A43</f>
        <v>40</v>
      </c>
      <c r="B43" s="195" t="s">
        <v>66</v>
      </c>
      <c r="C43" t="str">
        <f>'Introducció consums'!C43</f>
        <v>Quadre EP 40</v>
      </c>
      <c r="D43" s="117">
        <f>Taula2[[#This Row],[CONSUM TOTAL]]*'Introducció criteris'!$E$13</f>
        <v>1090</v>
      </c>
      <c r="E43" s="10">
        <f>Taula38[[#This Row],[Producció]]/'Introducció criteris'!$E$21</f>
        <v>0.80740740740740746</v>
      </c>
      <c r="F43" s="35">
        <f>+Taula38[[#This Row],[Potència pic]]/'Introducció criteris'!$E$23</f>
        <v>4.0370370370370372</v>
      </c>
      <c r="G43" s="117">
        <f>IF(Taula38[[#This Row],[Tipus subministrament]]="Quadre EP",0,Taula38[[#This Row],[Producció]]*'Introducció criteris'!$G$13)</f>
        <v>0</v>
      </c>
      <c r="H43" s="117">
        <f>Taula38[[#This Row],[Producció]]-Taula38[[#This Row],[Autoconsum instantani]]-Taula38[[#This Row],[Abocament a xarxa sense compensar]]</f>
        <v>1090</v>
      </c>
      <c r="I43" s="117">
        <f>Taula38[[#This Row],[Producció]]*'Introducció criteris'!$I$13</f>
        <v>0</v>
      </c>
      <c r="J43" s="118">
        <f>Taula2[[#This Row],[CONSUM TOTAL]]-Taula38[[#This Row],[Autoconsum instantani]]</f>
        <v>2180</v>
      </c>
    </row>
    <row r="44" spans="1:10">
      <c r="A44" s="166">
        <f>'Introducció consums'!A44</f>
        <v>41</v>
      </c>
      <c r="B44" s="195" t="s">
        <v>66</v>
      </c>
      <c r="C44" t="str">
        <f>'Introducció consums'!C44</f>
        <v>Quadre EP 41</v>
      </c>
      <c r="D44" s="117">
        <f>Taula2[[#This Row],[CONSUM TOTAL]]*'Introducció criteris'!$E$13</f>
        <v>1100</v>
      </c>
      <c r="E44" s="10">
        <f>Taula38[[#This Row],[Producció]]/'Introducció criteris'!$E$21</f>
        <v>0.81481481481481477</v>
      </c>
      <c r="F44" s="35">
        <f>+Taula38[[#This Row],[Potència pic]]/'Introducció criteris'!$E$23</f>
        <v>4.0740740740740735</v>
      </c>
      <c r="G44" s="117">
        <f>IF(Taula38[[#This Row],[Tipus subministrament]]="Quadre EP",0,Taula38[[#This Row],[Producció]]*'Introducció criteris'!$G$13)</f>
        <v>0</v>
      </c>
      <c r="H44" s="117">
        <f>Taula38[[#This Row],[Producció]]-Taula38[[#This Row],[Autoconsum instantani]]-Taula38[[#This Row],[Abocament a xarxa sense compensar]]</f>
        <v>1100</v>
      </c>
      <c r="I44" s="117">
        <f>Taula38[[#This Row],[Producció]]*'Introducció criteris'!$I$13</f>
        <v>0</v>
      </c>
      <c r="J44" s="118">
        <f>Taula2[[#This Row],[CONSUM TOTAL]]-Taula38[[#This Row],[Autoconsum instantani]]</f>
        <v>2200</v>
      </c>
    </row>
    <row r="45" spans="1:10">
      <c r="A45" s="166">
        <f>'Introducció consums'!A45</f>
        <v>42</v>
      </c>
      <c r="B45" s="195" t="s">
        <v>66</v>
      </c>
      <c r="C45" t="str">
        <f>'Introducció consums'!C45</f>
        <v>Quadre EP 42</v>
      </c>
      <c r="D45" s="117">
        <f>Taula2[[#This Row],[CONSUM TOTAL]]*'Introducció criteris'!$E$13</f>
        <v>1110</v>
      </c>
      <c r="E45" s="10">
        <f>Taula38[[#This Row],[Producció]]/'Introducció criteris'!$E$21</f>
        <v>0.82222222222222219</v>
      </c>
      <c r="F45" s="35">
        <f>+Taula38[[#This Row],[Potència pic]]/'Introducció criteris'!$E$23</f>
        <v>4.1111111111111107</v>
      </c>
      <c r="G45" s="117">
        <f>IF(Taula38[[#This Row],[Tipus subministrament]]="Quadre EP",0,Taula38[[#This Row],[Producció]]*'Introducció criteris'!$G$13)</f>
        <v>0</v>
      </c>
      <c r="H45" s="117">
        <f>Taula38[[#This Row],[Producció]]-Taula38[[#This Row],[Autoconsum instantani]]-Taula38[[#This Row],[Abocament a xarxa sense compensar]]</f>
        <v>1110</v>
      </c>
      <c r="I45" s="117">
        <f>Taula38[[#This Row],[Producció]]*'Introducció criteris'!$I$13</f>
        <v>0</v>
      </c>
      <c r="J45" s="118">
        <f>Taula2[[#This Row],[CONSUM TOTAL]]-Taula38[[#This Row],[Autoconsum instantani]]</f>
        <v>2220</v>
      </c>
    </row>
    <row r="46" spans="1:10">
      <c r="A46" s="166">
        <f>'Introducció consums'!A46</f>
        <v>43</v>
      </c>
      <c r="B46" s="195" t="s">
        <v>66</v>
      </c>
      <c r="C46" t="str">
        <f>'Introducció consums'!C46</f>
        <v>Quadre EP 43</v>
      </c>
      <c r="D46" s="117">
        <f>Taula2[[#This Row],[CONSUM TOTAL]]*'Introducció criteris'!$E$13</f>
        <v>1120</v>
      </c>
      <c r="E46" s="10">
        <f>Taula38[[#This Row],[Producció]]/'Introducció criteris'!$E$21</f>
        <v>0.82962962962962961</v>
      </c>
      <c r="F46" s="35">
        <f>+Taula38[[#This Row],[Potència pic]]/'Introducció criteris'!$E$23</f>
        <v>4.1481481481481479</v>
      </c>
      <c r="G46" s="117">
        <f>IF(Taula38[[#This Row],[Tipus subministrament]]="Quadre EP",0,Taula38[[#This Row],[Producció]]*'Introducció criteris'!$G$13)</f>
        <v>0</v>
      </c>
      <c r="H46" s="117">
        <f>Taula38[[#This Row],[Producció]]-Taula38[[#This Row],[Autoconsum instantani]]-Taula38[[#This Row],[Abocament a xarxa sense compensar]]</f>
        <v>1120</v>
      </c>
      <c r="I46" s="117">
        <f>Taula38[[#This Row],[Producció]]*'Introducció criteris'!$I$13</f>
        <v>0</v>
      </c>
      <c r="J46" s="118">
        <f>Taula2[[#This Row],[CONSUM TOTAL]]-Taula38[[#This Row],[Autoconsum instantani]]</f>
        <v>2240</v>
      </c>
    </row>
    <row r="47" spans="1:10">
      <c r="A47" s="166">
        <f>'Introducció consums'!A47</f>
        <v>44</v>
      </c>
      <c r="B47" s="195" t="s">
        <v>66</v>
      </c>
      <c r="C47" t="str">
        <f>'Introducció consums'!C47</f>
        <v>Quadre EP 44</v>
      </c>
      <c r="D47" s="117">
        <f>Taula2[[#This Row],[CONSUM TOTAL]]*'Introducció criteris'!$E$13</f>
        <v>1130</v>
      </c>
      <c r="E47" s="10">
        <f>Taula38[[#This Row],[Producció]]/'Introducció criteris'!$E$21</f>
        <v>0.83703703703703702</v>
      </c>
      <c r="F47" s="35">
        <f>+Taula38[[#This Row],[Potència pic]]/'Introducció criteris'!$E$23</f>
        <v>4.1851851851851851</v>
      </c>
      <c r="G47" s="117">
        <f>IF(Taula38[[#This Row],[Tipus subministrament]]="Quadre EP",0,Taula38[[#This Row],[Producció]]*'Introducció criteris'!$G$13)</f>
        <v>0</v>
      </c>
      <c r="H47" s="117">
        <f>Taula38[[#This Row],[Producció]]-Taula38[[#This Row],[Autoconsum instantani]]-Taula38[[#This Row],[Abocament a xarxa sense compensar]]</f>
        <v>1130</v>
      </c>
      <c r="I47" s="117">
        <f>Taula38[[#This Row],[Producció]]*'Introducció criteris'!$I$13</f>
        <v>0</v>
      </c>
      <c r="J47" s="118">
        <f>Taula2[[#This Row],[CONSUM TOTAL]]-Taula38[[#This Row],[Autoconsum instantani]]</f>
        <v>2260</v>
      </c>
    </row>
    <row r="48" spans="1:10">
      <c r="A48" s="166">
        <f>'Introducció consums'!A48</f>
        <v>45</v>
      </c>
      <c r="B48" s="195" t="s">
        <v>66</v>
      </c>
      <c r="C48" t="str">
        <f>'Introducció consums'!C48</f>
        <v>Quadre EP 45</v>
      </c>
      <c r="D48" s="117">
        <f>Taula2[[#This Row],[CONSUM TOTAL]]*'Introducció criteris'!$E$13</f>
        <v>1140</v>
      </c>
      <c r="E48" s="10">
        <f>Taula38[[#This Row],[Producció]]/'Introducció criteris'!$E$21</f>
        <v>0.84444444444444444</v>
      </c>
      <c r="F48" s="35">
        <f>+Taula38[[#This Row],[Potència pic]]/'Introducció criteris'!$E$23</f>
        <v>4.2222222222222223</v>
      </c>
      <c r="G48" s="117">
        <f>IF(Taula38[[#This Row],[Tipus subministrament]]="Quadre EP",0,Taula38[[#This Row],[Producció]]*'Introducció criteris'!$G$13)</f>
        <v>0</v>
      </c>
      <c r="H48" s="117">
        <f>Taula38[[#This Row],[Producció]]-Taula38[[#This Row],[Autoconsum instantani]]-Taula38[[#This Row],[Abocament a xarxa sense compensar]]</f>
        <v>1140</v>
      </c>
      <c r="I48" s="117">
        <f>Taula38[[#This Row],[Producció]]*'Introducció criteris'!$I$13</f>
        <v>0</v>
      </c>
      <c r="J48" s="118">
        <f>Taula2[[#This Row],[CONSUM TOTAL]]-Taula38[[#This Row],[Autoconsum instantani]]</f>
        <v>2280</v>
      </c>
    </row>
    <row r="49" spans="1:10">
      <c r="A49" s="166">
        <f>'Introducció consums'!A49</f>
        <v>46</v>
      </c>
      <c r="B49" s="195" t="s">
        <v>66</v>
      </c>
      <c r="C49" t="str">
        <f>'Introducció consums'!C49</f>
        <v>Quadre EP 46</v>
      </c>
      <c r="D49" s="117">
        <f>Taula2[[#This Row],[CONSUM TOTAL]]*'Introducció criteris'!$E$13</f>
        <v>1150</v>
      </c>
      <c r="E49" s="10">
        <f>Taula38[[#This Row],[Producció]]/'Introducció criteris'!$E$21</f>
        <v>0.85185185185185186</v>
      </c>
      <c r="F49" s="35">
        <f>+Taula38[[#This Row],[Potència pic]]/'Introducció criteris'!$E$23</f>
        <v>4.2592592592592586</v>
      </c>
      <c r="G49" s="117">
        <f>IF(Taula38[[#This Row],[Tipus subministrament]]="Quadre EP",0,Taula38[[#This Row],[Producció]]*'Introducció criteris'!$G$13)</f>
        <v>0</v>
      </c>
      <c r="H49" s="117">
        <f>Taula38[[#This Row],[Producció]]-Taula38[[#This Row],[Autoconsum instantani]]-Taula38[[#This Row],[Abocament a xarxa sense compensar]]</f>
        <v>1150</v>
      </c>
      <c r="I49" s="117">
        <f>Taula38[[#This Row],[Producció]]*'Introducció criteris'!$I$13</f>
        <v>0</v>
      </c>
      <c r="J49" s="118">
        <f>Taula2[[#This Row],[CONSUM TOTAL]]-Taula38[[#This Row],[Autoconsum instantani]]</f>
        <v>2300</v>
      </c>
    </row>
    <row r="50" spans="1:10">
      <c r="A50" s="166">
        <f>'Introducció consums'!A50</f>
        <v>47</v>
      </c>
      <c r="B50" s="195" t="s">
        <v>66</v>
      </c>
      <c r="C50" t="str">
        <f>'Introducció consums'!C50</f>
        <v>Quadre EP 47</v>
      </c>
      <c r="D50" s="117">
        <f>Taula2[[#This Row],[CONSUM TOTAL]]*'Introducció criteris'!$E$13</f>
        <v>1160</v>
      </c>
      <c r="E50" s="10">
        <f>Taula38[[#This Row],[Producció]]/'Introducció criteris'!$E$21</f>
        <v>0.85925925925925928</v>
      </c>
      <c r="F50" s="35">
        <f>+Taula38[[#This Row],[Potència pic]]/'Introducció criteris'!$E$23</f>
        <v>4.2962962962962958</v>
      </c>
      <c r="G50" s="117">
        <f>IF(Taula38[[#This Row],[Tipus subministrament]]="Quadre EP",0,Taula38[[#This Row],[Producció]]*'Introducció criteris'!$G$13)</f>
        <v>0</v>
      </c>
      <c r="H50" s="117">
        <f>Taula38[[#This Row],[Producció]]-Taula38[[#This Row],[Autoconsum instantani]]-Taula38[[#This Row],[Abocament a xarxa sense compensar]]</f>
        <v>1160</v>
      </c>
      <c r="I50" s="117">
        <f>Taula38[[#This Row],[Producció]]*'Introducció criteris'!$I$13</f>
        <v>0</v>
      </c>
      <c r="J50" s="118">
        <f>Taula2[[#This Row],[CONSUM TOTAL]]-Taula38[[#This Row],[Autoconsum instantani]]</f>
        <v>2320</v>
      </c>
    </row>
    <row r="51" spans="1:10">
      <c r="A51" s="166">
        <f>'Introducció consums'!A51</f>
        <v>48</v>
      </c>
      <c r="B51" s="195" t="s">
        <v>66</v>
      </c>
      <c r="C51" t="str">
        <f>'Introducció consums'!C51</f>
        <v>Quadre EP 48</v>
      </c>
      <c r="D51" s="117">
        <f>Taula2[[#This Row],[CONSUM TOTAL]]*'Introducció criteris'!$E$13</f>
        <v>1170</v>
      </c>
      <c r="E51" s="10">
        <f>Taula38[[#This Row],[Producció]]/'Introducció criteris'!$E$21</f>
        <v>0.8666666666666667</v>
      </c>
      <c r="F51" s="35">
        <f>+Taula38[[#This Row],[Potència pic]]/'Introducció criteris'!$E$23</f>
        <v>4.333333333333333</v>
      </c>
      <c r="G51" s="117">
        <f>IF(Taula38[[#This Row],[Tipus subministrament]]="Quadre EP",0,Taula38[[#This Row],[Producció]]*'Introducció criteris'!$G$13)</f>
        <v>0</v>
      </c>
      <c r="H51" s="117">
        <f>Taula38[[#This Row],[Producció]]-Taula38[[#This Row],[Autoconsum instantani]]-Taula38[[#This Row],[Abocament a xarxa sense compensar]]</f>
        <v>1170</v>
      </c>
      <c r="I51" s="117">
        <f>Taula38[[#This Row],[Producció]]*'Introducció criteris'!$I$13</f>
        <v>0</v>
      </c>
      <c r="J51" s="118">
        <f>Taula2[[#This Row],[CONSUM TOTAL]]-Taula38[[#This Row],[Autoconsum instantani]]</f>
        <v>2340</v>
      </c>
    </row>
    <row r="52" spans="1:10">
      <c r="A52" s="166">
        <f>'Introducció consums'!A52</f>
        <v>49</v>
      </c>
      <c r="B52" s="195" t="s">
        <v>66</v>
      </c>
      <c r="C52" t="str">
        <f>'Introducció consums'!C52</f>
        <v>Quadre EP 49</v>
      </c>
      <c r="D52" s="104">
        <f>Taula2[[#This Row],[CONSUM TOTAL]]*'Introducció criteris'!$E$13</f>
        <v>1180</v>
      </c>
      <c r="E52" s="119">
        <f>Taula38[[#This Row],[Producció]]/'Introducció criteris'!$E$21</f>
        <v>0.87407407407407411</v>
      </c>
      <c r="F52" s="120">
        <f>+Taula38[[#This Row],[Potència pic]]/'Introducció criteris'!$E$23</f>
        <v>4.3703703703703702</v>
      </c>
      <c r="G52" s="9">
        <f>IF(Taula38[[#This Row],[Tipus subministrament]]="Quadre EP",0,Taula38[[#This Row],[Producció]]*'Introducció criteris'!$G$13)</f>
        <v>0</v>
      </c>
      <c r="H52" s="9">
        <f>Taula38[[#This Row],[Producció]]-Taula38[[#This Row],[Autoconsum instantani]]-Taula38[[#This Row],[Abocament a xarxa sense compensar]]</f>
        <v>1180</v>
      </c>
      <c r="I52" s="9">
        <f>Taula38[[#This Row],[Producció]]*'Introducció criteris'!$I$13</f>
        <v>0</v>
      </c>
      <c r="J52" s="11">
        <f>Taula2[[#This Row],[CONSUM TOTAL]]-Taula38[[#This Row],[Autoconsum instantani]]</f>
        <v>2360</v>
      </c>
    </row>
    <row r="53" spans="1:10" ht="15" thickBot="1">
      <c r="A53" s="167">
        <f>'Introducció consums'!A53</f>
        <v>50</v>
      </c>
      <c r="B53" s="192" t="s">
        <v>66</v>
      </c>
      <c r="C53" s="152" t="str">
        <f>'Introducció consums'!C53</f>
        <v>Quadre EP 50</v>
      </c>
      <c r="D53" s="153">
        <f>Taula2[[#This Row],[CONSUM TOTAL]]*'Introducció criteris'!$E$13</f>
        <v>1190</v>
      </c>
      <c r="E53" s="23">
        <f>Taula38[[#This Row],[Producció]]/'Introducció criteris'!$E$21</f>
        <v>0.88148148148148153</v>
      </c>
      <c r="F53" s="154">
        <f>+Taula38[[#This Row],[Potència pic]]/'Introducció criteris'!$E$23</f>
        <v>4.4074074074074074</v>
      </c>
      <c r="G53" s="153">
        <f>IF(Taula38[[#This Row],[Tipus subministrament]]="Quadre EP",0,Taula38[[#This Row],[Producció]]*'Introducció criteris'!$G$13)</f>
        <v>0</v>
      </c>
      <c r="H53" s="153">
        <f>Taula38[[#This Row],[Producció]]-Taula38[[#This Row],[Autoconsum instantani]]-Taula38[[#This Row],[Abocament a xarxa sense compensar]]</f>
        <v>1190</v>
      </c>
      <c r="I53" s="153">
        <f>Taula38[[#This Row],[Producció]]*'Introducció criteris'!$I$13</f>
        <v>0</v>
      </c>
      <c r="J53" s="155">
        <f>Taula2[[#This Row],[CONSUM TOTAL]]-Taula38[[#This Row],[Autoconsum instantani]]</f>
        <v>2380</v>
      </c>
    </row>
    <row r="54" spans="1:10" ht="9" customHeight="1" thickBot="1">
      <c r="D54" s="139"/>
      <c r="E54" s="140"/>
      <c r="F54" s="141"/>
      <c r="G54" s="139"/>
      <c r="H54" s="139"/>
      <c r="I54" s="139"/>
      <c r="J54" s="139"/>
    </row>
    <row r="55" spans="1:10" ht="28.5" customHeight="1" thickBot="1">
      <c r="A55" s="142"/>
      <c r="B55" s="193"/>
      <c r="C55" s="143" t="s">
        <v>158</v>
      </c>
      <c r="D55" s="144">
        <f>SUM(D4:D53)</f>
        <v>55950</v>
      </c>
      <c r="E55" s="145">
        <f t="shared" ref="E55:J55" si="0">SUM(E4:E53)</f>
        <v>41.444444444444443</v>
      </c>
      <c r="F55" s="146">
        <f t="shared" si="0"/>
        <v>207.22222222222226</v>
      </c>
      <c r="G55" s="144">
        <f t="shared" si="0"/>
        <v>14175</v>
      </c>
      <c r="H55" s="144">
        <f t="shared" si="0"/>
        <v>41775</v>
      </c>
      <c r="I55" s="144">
        <f t="shared" si="0"/>
        <v>0</v>
      </c>
      <c r="J55" s="147">
        <f t="shared" si="0"/>
        <v>97725</v>
      </c>
    </row>
    <row r="56" spans="1:10">
      <c r="D56" s="139"/>
      <c r="E56" s="140"/>
      <c r="F56" s="141"/>
      <c r="G56" s="139"/>
      <c r="H56" s="139"/>
      <c r="I56" s="139"/>
      <c r="J56" s="139"/>
    </row>
    <row r="57" spans="1:10">
      <c r="D57" s="139"/>
      <c r="E57" s="140"/>
      <c r="F57" s="141"/>
      <c r="G57" s="139"/>
      <c r="H57" s="139"/>
      <c r="I57" s="139"/>
      <c r="J57" s="139"/>
    </row>
    <row r="58" spans="1:10">
      <c r="D58" s="139"/>
      <c r="E58" s="140"/>
      <c r="F58" s="141"/>
      <c r="G58" s="139"/>
      <c r="H58" s="139"/>
      <c r="I58" s="139"/>
      <c r="J58" s="139"/>
    </row>
    <row r="59" spans="1:10">
      <c r="D59" s="139"/>
      <c r="E59" s="140"/>
      <c r="F59" s="141"/>
      <c r="G59" s="139"/>
      <c r="H59" s="139"/>
      <c r="I59" s="139"/>
      <c r="J59" s="139"/>
    </row>
    <row r="60" spans="1:10">
      <c r="D60" s="139"/>
      <c r="E60" s="140"/>
      <c r="F60" s="141"/>
      <c r="G60" s="139"/>
      <c r="H60" s="139"/>
      <c r="I60" s="139"/>
      <c r="J60" s="139"/>
    </row>
    <row r="61" spans="1:10">
      <c r="D61" s="139"/>
      <c r="E61" s="140"/>
      <c r="F61" s="141"/>
      <c r="G61" s="139"/>
      <c r="H61" s="139"/>
      <c r="I61" s="139"/>
      <c r="J61" s="139"/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B2CD-DD60-4E55-A1F4-1F1EB3EC7DF0}">
  <sheetPr>
    <tabColor theme="8" tint="0.39997558519241921"/>
  </sheetPr>
  <dimension ref="A1:AD61"/>
  <sheetViews>
    <sheetView zoomScale="85" zoomScaleNormal="85" workbookViewId="0"/>
  </sheetViews>
  <sheetFormatPr defaultColWidth="8.7109375" defaultRowHeight="14.45"/>
  <cols>
    <col min="1" max="1" width="8.7109375" style="135"/>
    <col min="2" max="2" width="18" style="135" customWidth="1"/>
    <col min="3" max="3" width="23.7109375" style="135" customWidth="1"/>
    <col min="4" max="4" width="16.28515625" style="135" customWidth="1"/>
    <col min="5" max="5" width="15.7109375" style="135" customWidth="1"/>
    <col min="6" max="6" width="14.28515625" style="135" customWidth="1"/>
    <col min="7" max="7" width="28.28515625" style="135" customWidth="1"/>
    <col min="8" max="8" width="19.28515625" style="135" customWidth="1"/>
    <col min="9" max="9" width="25.28515625" style="135" customWidth="1"/>
    <col min="10" max="10" width="22.28515625" style="135" customWidth="1"/>
    <col min="11" max="16384" width="8.7109375" style="135"/>
  </cols>
  <sheetData>
    <row r="1" spans="1:30" ht="25.9">
      <c r="A1" s="111" t="s">
        <v>149</v>
      </c>
      <c r="B1" s="111"/>
      <c r="C1" s="111"/>
      <c r="D1" s="112"/>
      <c r="E1" s="113"/>
      <c r="F1" s="113"/>
      <c r="G1" s="113"/>
      <c r="H1" s="113"/>
      <c r="I1" s="113"/>
      <c r="J1" s="11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4"/>
      <c r="X1" s="134"/>
      <c r="Y1" s="134"/>
      <c r="Z1" s="134"/>
      <c r="AA1" s="134"/>
      <c r="AB1" s="134"/>
      <c r="AC1" s="134"/>
      <c r="AD1" s="134"/>
    </row>
    <row r="2" spans="1:30" ht="23.45">
      <c r="A2" s="115" t="str">
        <f>CONCATENATE('Introducció criteris'!$C$15,": produint el ",'Introducció criteris'!E15*100,"% del consum i autoconsumint un ",'Introducció criteris'!$G$15*100,"% de la producció")</f>
        <v>Escenari 3: produint el 100% del consum i autoconsumint un 50% de la producció</v>
      </c>
      <c r="B2" s="115"/>
      <c r="C2" s="115"/>
      <c r="D2" s="115"/>
      <c r="E2" s="115"/>
      <c r="F2" s="115"/>
      <c r="G2" s="116"/>
      <c r="H2" s="116"/>
      <c r="I2" s="116"/>
      <c r="J2" s="115"/>
      <c r="K2" s="136"/>
      <c r="L2" s="137"/>
      <c r="M2" s="137"/>
      <c r="N2" s="137"/>
      <c r="O2" s="137"/>
      <c r="P2" s="138"/>
      <c r="Q2" s="138"/>
      <c r="R2" s="137"/>
      <c r="S2" s="137"/>
      <c r="T2" s="137"/>
      <c r="U2" s="137"/>
      <c r="V2" s="137"/>
      <c r="W2" s="134"/>
      <c r="X2" s="134"/>
      <c r="Y2" s="134"/>
      <c r="Z2" s="134"/>
      <c r="AA2" s="134"/>
      <c r="AB2" s="134"/>
      <c r="AC2" s="134"/>
      <c r="AD2" s="134"/>
    </row>
    <row r="3" spans="1:30" ht="33" customHeight="1" thickBot="1">
      <c r="A3" s="159" t="s">
        <v>150</v>
      </c>
      <c r="B3" s="190" t="s">
        <v>18</v>
      </c>
      <c r="C3" s="160" t="s">
        <v>19</v>
      </c>
      <c r="D3" s="161" t="s">
        <v>151</v>
      </c>
      <c r="E3" s="162" t="s">
        <v>152</v>
      </c>
      <c r="F3" s="162" t="s">
        <v>153</v>
      </c>
      <c r="G3" s="163" t="s">
        <v>154</v>
      </c>
      <c r="H3" s="164" t="s">
        <v>155</v>
      </c>
      <c r="I3" s="162" t="s">
        <v>156</v>
      </c>
      <c r="J3" s="163" t="s">
        <v>157</v>
      </c>
    </row>
    <row r="4" spans="1:30">
      <c r="A4" s="165">
        <f>'Introducció consums'!A4</f>
        <v>1</v>
      </c>
      <c r="B4" s="191" t="s">
        <v>33</v>
      </c>
      <c r="C4" s="131" t="str">
        <f>'Introducció consums'!C4</f>
        <v>Equipament 1</v>
      </c>
      <c r="D4" s="148">
        <f>Taula2[[#This Row],[CONSUM TOTAL]]*'Introducció criteris'!$E$15</f>
        <v>2000</v>
      </c>
      <c r="E4" s="149">
        <f>Taula389[[#This Row],[Producció]]/'Introducció criteris'!$E$21</f>
        <v>1.4814814814814814</v>
      </c>
      <c r="F4" s="150">
        <f>+Taula389[[#This Row],[Potència pic]]/'Introducció criteris'!$E$23</f>
        <v>7.4074074074074066</v>
      </c>
      <c r="G4" s="148">
        <f>IF(Taula389[[#This Row],[Tipus subministrament]]="Quadre EP",0,Taula389[[#This Row],[Producció]]*'Introducció criteris'!$G$15)</f>
        <v>1000</v>
      </c>
      <c r="H4" s="148">
        <f>Taula389[[#This Row],[Producció]]-Taula389[[#This Row],[Autoconsum instantani]]-Taula389[[#This Row],[Abocament a xarxa sense compensar]]</f>
        <v>900</v>
      </c>
      <c r="I4" s="148">
        <f>Taula389[[#This Row],[Producció]]*'Introducció criteris'!$I$15</f>
        <v>100</v>
      </c>
      <c r="J4" s="151">
        <f>Taula2[[#This Row],[CONSUM TOTAL]]-Taula389[[#This Row],[Autoconsum instantani]]</f>
        <v>1000</v>
      </c>
    </row>
    <row r="5" spans="1:30">
      <c r="A5" s="166">
        <f>'Introducció consums'!A5</f>
        <v>2</v>
      </c>
      <c r="B5" s="195" t="s">
        <v>33</v>
      </c>
      <c r="C5" t="str">
        <f>'Introducció consums'!C5</f>
        <v>Equipament 2</v>
      </c>
      <c r="D5" s="117">
        <f>Taula2[[#This Row],[CONSUM TOTAL]]*'Introducció criteris'!$E$15</f>
        <v>2100</v>
      </c>
      <c r="E5" s="10">
        <f>Taula389[[#This Row],[Producció]]/'Introducció criteris'!$E$21</f>
        <v>1.5555555555555556</v>
      </c>
      <c r="F5" s="35">
        <f>+Taula389[[#This Row],[Potència pic]]/'Introducció criteris'!$E$23</f>
        <v>7.7777777777777777</v>
      </c>
      <c r="G5" s="117">
        <f>IF(Taula389[[#This Row],[Tipus subministrament]]="Quadre EP",0,Taula389[[#This Row],[Producció]]*'Introducció criteris'!$G$15)</f>
        <v>1050</v>
      </c>
      <c r="H5" s="117">
        <f>Taula389[[#This Row],[Producció]]-Taula389[[#This Row],[Autoconsum instantani]]-Taula389[[#This Row],[Abocament a xarxa sense compensar]]</f>
        <v>945</v>
      </c>
      <c r="I5" s="117">
        <f>Taula389[[#This Row],[Producció]]*'Introducció criteris'!$I$15</f>
        <v>105</v>
      </c>
      <c r="J5" s="118">
        <f>Taula2[[#This Row],[CONSUM TOTAL]]-Taula389[[#This Row],[Autoconsum instantani]]</f>
        <v>1050</v>
      </c>
    </row>
    <row r="6" spans="1:30">
      <c r="A6" s="166">
        <f>'Introducció consums'!A6</f>
        <v>3</v>
      </c>
      <c r="B6" s="195" t="s">
        <v>33</v>
      </c>
      <c r="C6" t="str">
        <f>'Introducció consums'!C6</f>
        <v>Equipament 3</v>
      </c>
      <c r="D6" s="117">
        <f>Taula2[[#This Row],[CONSUM TOTAL]]*'Introducció criteris'!$E$15</f>
        <v>2200</v>
      </c>
      <c r="E6" s="10">
        <f>Taula389[[#This Row],[Producció]]/'Introducció criteris'!$E$21</f>
        <v>1.6296296296296295</v>
      </c>
      <c r="F6" s="35">
        <f>+Taula389[[#This Row],[Potència pic]]/'Introducció criteris'!$E$23</f>
        <v>8.148148148148147</v>
      </c>
      <c r="G6" s="117">
        <f>IF(Taula389[[#This Row],[Tipus subministrament]]="Quadre EP",0,Taula389[[#This Row],[Producció]]*'Introducció criteris'!$G$15)</f>
        <v>1100</v>
      </c>
      <c r="H6" s="117">
        <f>Taula389[[#This Row],[Producció]]-Taula389[[#This Row],[Autoconsum instantani]]-Taula389[[#This Row],[Abocament a xarxa sense compensar]]</f>
        <v>990</v>
      </c>
      <c r="I6" s="117">
        <f>Taula389[[#This Row],[Producció]]*'Introducció criteris'!$I$15</f>
        <v>110</v>
      </c>
      <c r="J6" s="118">
        <f>Taula2[[#This Row],[CONSUM TOTAL]]-Taula389[[#This Row],[Autoconsum instantani]]</f>
        <v>1100</v>
      </c>
    </row>
    <row r="7" spans="1:30">
      <c r="A7" s="166">
        <f>'Introducció consums'!A7</f>
        <v>4</v>
      </c>
      <c r="B7" s="195" t="s">
        <v>33</v>
      </c>
      <c r="C7" t="str">
        <f>'Introducció consums'!C7</f>
        <v>Equipament 4</v>
      </c>
      <c r="D7" s="117">
        <f>Taula2[[#This Row],[CONSUM TOTAL]]*'Introducció criteris'!$E$15</f>
        <v>2300</v>
      </c>
      <c r="E7" s="10">
        <f>Taula389[[#This Row],[Producció]]/'Introducció criteris'!$E$21</f>
        <v>1.7037037037037037</v>
      </c>
      <c r="F7" s="35">
        <f>+Taula389[[#This Row],[Potència pic]]/'Introducció criteris'!$E$23</f>
        <v>8.5185185185185173</v>
      </c>
      <c r="G7" s="117">
        <f>IF(Taula389[[#This Row],[Tipus subministrament]]="Quadre EP",0,Taula389[[#This Row],[Producció]]*'Introducció criteris'!$G$15)</f>
        <v>1150</v>
      </c>
      <c r="H7" s="117">
        <f>Taula389[[#This Row],[Producció]]-Taula389[[#This Row],[Autoconsum instantani]]-Taula389[[#This Row],[Abocament a xarxa sense compensar]]</f>
        <v>1035</v>
      </c>
      <c r="I7" s="117">
        <f>Taula389[[#This Row],[Producció]]*'Introducció criteris'!$I$15</f>
        <v>115</v>
      </c>
      <c r="J7" s="118">
        <f>Taula2[[#This Row],[CONSUM TOTAL]]-Taula389[[#This Row],[Autoconsum instantani]]</f>
        <v>1150</v>
      </c>
    </row>
    <row r="8" spans="1:30">
      <c r="A8" s="166">
        <f>'Introducció consums'!A8</f>
        <v>5</v>
      </c>
      <c r="B8" s="195" t="s">
        <v>33</v>
      </c>
      <c r="C8" t="str">
        <f>'Introducció consums'!C8</f>
        <v>Equipament 5</v>
      </c>
      <c r="D8" s="117">
        <f>Taula2[[#This Row],[CONSUM TOTAL]]*'Introducció criteris'!$E$15</f>
        <v>2400</v>
      </c>
      <c r="E8" s="10">
        <f>Taula389[[#This Row],[Producció]]/'Introducció criteris'!$E$21</f>
        <v>1.7777777777777777</v>
      </c>
      <c r="F8" s="35">
        <f>+Taula389[[#This Row],[Potència pic]]/'Introducció criteris'!$E$23</f>
        <v>8.8888888888888875</v>
      </c>
      <c r="G8" s="117">
        <f>IF(Taula389[[#This Row],[Tipus subministrament]]="Quadre EP",0,Taula389[[#This Row],[Producció]]*'Introducció criteris'!$G$15)</f>
        <v>1200</v>
      </c>
      <c r="H8" s="117">
        <f>Taula389[[#This Row],[Producció]]-Taula389[[#This Row],[Autoconsum instantani]]-Taula389[[#This Row],[Abocament a xarxa sense compensar]]</f>
        <v>1080</v>
      </c>
      <c r="I8" s="117">
        <f>Taula389[[#This Row],[Producció]]*'Introducció criteris'!$I$15</f>
        <v>120</v>
      </c>
      <c r="J8" s="118">
        <f>Taula2[[#This Row],[CONSUM TOTAL]]-Taula389[[#This Row],[Autoconsum instantani]]</f>
        <v>1200</v>
      </c>
    </row>
    <row r="9" spans="1:30">
      <c r="A9" s="166">
        <f>'Introducció consums'!A9</f>
        <v>6</v>
      </c>
      <c r="B9" s="195" t="s">
        <v>33</v>
      </c>
      <c r="C9" t="str">
        <f>'Introducció consums'!C9</f>
        <v>Equipament 6</v>
      </c>
      <c r="D9" s="117">
        <f>Taula2[[#This Row],[CONSUM TOTAL]]*'Introducció criteris'!$E$15</f>
        <v>2500</v>
      </c>
      <c r="E9" s="10">
        <f>Taula389[[#This Row],[Producció]]/'Introducció criteris'!$E$21</f>
        <v>1.8518518518518519</v>
      </c>
      <c r="F9" s="35">
        <f>+Taula389[[#This Row],[Potència pic]]/'Introducció criteris'!$E$23</f>
        <v>9.2592592592592595</v>
      </c>
      <c r="G9" s="117">
        <f>IF(Taula389[[#This Row],[Tipus subministrament]]="Quadre EP",0,Taula389[[#This Row],[Producció]]*'Introducció criteris'!$G$15)</f>
        <v>1250</v>
      </c>
      <c r="H9" s="117">
        <f>Taula389[[#This Row],[Producció]]-Taula389[[#This Row],[Autoconsum instantani]]-Taula389[[#This Row],[Abocament a xarxa sense compensar]]</f>
        <v>1125</v>
      </c>
      <c r="I9" s="117">
        <f>Taula389[[#This Row],[Producció]]*'Introducció criteris'!$I$15</f>
        <v>125</v>
      </c>
      <c r="J9" s="118">
        <f>Taula2[[#This Row],[CONSUM TOTAL]]-Taula389[[#This Row],[Autoconsum instantani]]</f>
        <v>1250</v>
      </c>
    </row>
    <row r="10" spans="1:30">
      <c r="A10" s="166">
        <f>'Introducció consums'!A10</f>
        <v>7</v>
      </c>
      <c r="B10" s="195" t="s">
        <v>33</v>
      </c>
      <c r="C10" t="str">
        <f>'Introducció consums'!C10</f>
        <v>Equipament 7</v>
      </c>
      <c r="D10" s="117">
        <f>Taula2[[#This Row],[CONSUM TOTAL]]*'Introducció criteris'!$E$15</f>
        <v>2600</v>
      </c>
      <c r="E10" s="10">
        <f>Taula389[[#This Row],[Producció]]/'Introducció criteris'!$E$21</f>
        <v>1.9259259259259258</v>
      </c>
      <c r="F10" s="35">
        <f>+Taula389[[#This Row],[Potència pic]]/'Introducció criteris'!$E$23</f>
        <v>9.629629629629628</v>
      </c>
      <c r="G10" s="117">
        <f>IF(Taula389[[#This Row],[Tipus subministrament]]="Quadre EP",0,Taula389[[#This Row],[Producció]]*'Introducció criteris'!$G$15)</f>
        <v>1300</v>
      </c>
      <c r="H10" s="117">
        <f>Taula389[[#This Row],[Producció]]-Taula389[[#This Row],[Autoconsum instantani]]-Taula389[[#This Row],[Abocament a xarxa sense compensar]]</f>
        <v>1170</v>
      </c>
      <c r="I10" s="117">
        <f>Taula389[[#This Row],[Producció]]*'Introducció criteris'!$I$15</f>
        <v>130</v>
      </c>
      <c r="J10" s="118">
        <f>Taula2[[#This Row],[CONSUM TOTAL]]-Taula389[[#This Row],[Autoconsum instantani]]</f>
        <v>1300</v>
      </c>
    </row>
    <row r="11" spans="1:30">
      <c r="A11" s="166">
        <f>'Introducció consums'!A11</f>
        <v>8</v>
      </c>
      <c r="B11" s="195" t="s">
        <v>33</v>
      </c>
      <c r="C11" t="str">
        <f>'Introducció consums'!C11</f>
        <v>Equipament 8</v>
      </c>
      <c r="D11" s="117">
        <f>Taula2[[#This Row],[CONSUM TOTAL]]*'Introducció criteris'!$E$15</f>
        <v>2700</v>
      </c>
      <c r="E11" s="10">
        <f>Taula389[[#This Row],[Producció]]/'Introducció criteris'!$E$21</f>
        <v>2</v>
      </c>
      <c r="F11" s="35">
        <f>+Taula389[[#This Row],[Potència pic]]/'Introducció criteris'!$E$23</f>
        <v>10</v>
      </c>
      <c r="G11" s="117">
        <f>IF(Taula389[[#This Row],[Tipus subministrament]]="Quadre EP",0,Taula389[[#This Row],[Producció]]*'Introducció criteris'!$G$15)</f>
        <v>1350</v>
      </c>
      <c r="H11" s="117">
        <f>Taula389[[#This Row],[Producció]]-Taula389[[#This Row],[Autoconsum instantani]]-Taula389[[#This Row],[Abocament a xarxa sense compensar]]</f>
        <v>1215</v>
      </c>
      <c r="I11" s="117">
        <f>Taula389[[#This Row],[Producció]]*'Introducció criteris'!$I$15</f>
        <v>135</v>
      </c>
      <c r="J11" s="118">
        <f>Taula2[[#This Row],[CONSUM TOTAL]]-Taula389[[#This Row],[Autoconsum instantani]]</f>
        <v>1350</v>
      </c>
    </row>
    <row r="12" spans="1:30">
      <c r="A12" s="166">
        <f>'Introducció consums'!A12</f>
        <v>9</v>
      </c>
      <c r="B12" s="195" t="s">
        <v>33</v>
      </c>
      <c r="C12" t="str">
        <f>'Introducció consums'!C12</f>
        <v>Equipament 9</v>
      </c>
      <c r="D12" s="117">
        <f>Taula2[[#This Row],[CONSUM TOTAL]]*'Introducció criteris'!$E$15</f>
        <v>2800</v>
      </c>
      <c r="E12" s="10">
        <f>Taula389[[#This Row],[Producció]]/'Introducció criteris'!$E$21</f>
        <v>2.074074074074074</v>
      </c>
      <c r="F12" s="35">
        <f>+Taula389[[#This Row],[Potència pic]]/'Introducció criteris'!$E$23</f>
        <v>10.370370370370368</v>
      </c>
      <c r="G12" s="117">
        <f>IF(Taula389[[#This Row],[Tipus subministrament]]="Quadre EP",0,Taula389[[#This Row],[Producció]]*'Introducció criteris'!$G$15)</f>
        <v>1400</v>
      </c>
      <c r="H12" s="117">
        <f>Taula389[[#This Row],[Producció]]-Taula389[[#This Row],[Autoconsum instantani]]-Taula389[[#This Row],[Abocament a xarxa sense compensar]]</f>
        <v>1260</v>
      </c>
      <c r="I12" s="117">
        <f>Taula389[[#This Row],[Producció]]*'Introducció criteris'!$I$15</f>
        <v>140</v>
      </c>
      <c r="J12" s="118">
        <f>Taula2[[#This Row],[CONSUM TOTAL]]-Taula389[[#This Row],[Autoconsum instantani]]</f>
        <v>1400</v>
      </c>
    </row>
    <row r="13" spans="1:30">
      <c r="A13" s="166">
        <f>'Introducció consums'!A13</f>
        <v>10</v>
      </c>
      <c r="B13" s="195" t="s">
        <v>33</v>
      </c>
      <c r="C13" t="str">
        <f>'Introducció consums'!C13</f>
        <v>Equipament 10</v>
      </c>
      <c r="D13" s="117">
        <f>Taula2[[#This Row],[CONSUM TOTAL]]*'Introducció criteris'!$E$15</f>
        <v>2900</v>
      </c>
      <c r="E13" s="10">
        <f>Taula389[[#This Row],[Producció]]/'Introducció criteris'!$E$21</f>
        <v>2.1481481481481484</v>
      </c>
      <c r="F13" s="35">
        <f>+Taula389[[#This Row],[Potència pic]]/'Introducció criteris'!$E$23</f>
        <v>10.74074074074074</v>
      </c>
      <c r="G13" s="117">
        <f>IF(Taula389[[#This Row],[Tipus subministrament]]="Quadre EP",0,Taula389[[#This Row],[Producció]]*'Introducció criteris'!$G$15)</f>
        <v>1450</v>
      </c>
      <c r="H13" s="117">
        <f>Taula389[[#This Row],[Producció]]-Taula389[[#This Row],[Autoconsum instantani]]-Taula389[[#This Row],[Abocament a xarxa sense compensar]]</f>
        <v>1305</v>
      </c>
      <c r="I13" s="117">
        <f>Taula389[[#This Row],[Producció]]*'Introducció criteris'!$I$15</f>
        <v>145</v>
      </c>
      <c r="J13" s="118">
        <f>Taula2[[#This Row],[CONSUM TOTAL]]-Taula389[[#This Row],[Autoconsum instantani]]</f>
        <v>1450</v>
      </c>
    </row>
    <row r="14" spans="1:30">
      <c r="A14" s="166">
        <f>'Introducció consums'!A14</f>
        <v>11</v>
      </c>
      <c r="B14" s="195" t="s">
        <v>33</v>
      </c>
      <c r="C14" t="str">
        <f>'Introducció consums'!C14</f>
        <v>Equipament 11</v>
      </c>
      <c r="D14" s="117">
        <f>Taula2[[#This Row],[CONSUM TOTAL]]*'Introducció criteris'!$E$15</f>
        <v>3000</v>
      </c>
      <c r="E14" s="10">
        <f>Taula389[[#This Row],[Producció]]/'Introducció criteris'!$E$21</f>
        <v>2.2222222222222223</v>
      </c>
      <c r="F14" s="35">
        <f>+Taula389[[#This Row],[Potència pic]]/'Introducció criteris'!$E$23</f>
        <v>11.111111111111111</v>
      </c>
      <c r="G14" s="117">
        <f>IF(Taula389[[#This Row],[Tipus subministrament]]="Quadre EP",0,Taula389[[#This Row],[Producció]]*'Introducció criteris'!$G$15)</f>
        <v>1500</v>
      </c>
      <c r="H14" s="117">
        <f>Taula389[[#This Row],[Producció]]-Taula389[[#This Row],[Autoconsum instantani]]-Taula389[[#This Row],[Abocament a xarxa sense compensar]]</f>
        <v>1350</v>
      </c>
      <c r="I14" s="117">
        <f>Taula389[[#This Row],[Producció]]*'Introducció criteris'!$I$15</f>
        <v>150</v>
      </c>
      <c r="J14" s="118">
        <f>Taula2[[#This Row],[CONSUM TOTAL]]-Taula389[[#This Row],[Autoconsum instantani]]</f>
        <v>1500</v>
      </c>
    </row>
    <row r="15" spans="1:30">
      <c r="A15" s="166">
        <f>'Introducció consums'!A15</f>
        <v>12</v>
      </c>
      <c r="B15" s="195" t="s">
        <v>33</v>
      </c>
      <c r="C15" t="str">
        <f>'Introducció consums'!C15</f>
        <v>Equipament 12</v>
      </c>
      <c r="D15" s="117">
        <f>Taula2[[#This Row],[CONSUM TOTAL]]*'Introducció criteris'!$E$15</f>
        <v>3100</v>
      </c>
      <c r="E15" s="10">
        <f>Taula389[[#This Row],[Producció]]/'Introducció criteris'!$E$21</f>
        <v>2.2962962962962963</v>
      </c>
      <c r="F15" s="35">
        <f>+Taula389[[#This Row],[Potència pic]]/'Introducció criteris'!$E$23</f>
        <v>11.481481481481481</v>
      </c>
      <c r="G15" s="117">
        <f>IF(Taula389[[#This Row],[Tipus subministrament]]="Quadre EP",0,Taula389[[#This Row],[Producció]]*'Introducció criteris'!$G$15)</f>
        <v>1550</v>
      </c>
      <c r="H15" s="117">
        <f>Taula389[[#This Row],[Producció]]-Taula389[[#This Row],[Autoconsum instantani]]-Taula389[[#This Row],[Abocament a xarxa sense compensar]]</f>
        <v>1395</v>
      </c>
      <c r="I15" s="117">
        <f>Taula389[[#This Row],[Producció]]*'Introducció criteris'!$I$15</f>
        <v>155</v>
      </c>
      <c r="J15" s="118">
        <f>Taula2[[#This Row],[CONSUM TOTAL]]-Taula389[[#This Row],[Autoconsum instantani]]</f>
        <v>1550</v>
      </c>
    </row>
    <row r="16" spans="1:30">
      <c r="A16" s="166">
        <f>'Introducció consums'!A16</f>
        <v>13</v>
      </c>
      <c r="B16" s="195" t="s">
        <v>33</v>
      </c>
      <c r="C16" t="str">
        <f>'Introducció consums'!C16</f>
        <v>Equipament 13</v>
      </c>
      <c r="D16" s="117">
        <f>Taula2[[#This Row],[CONSUM TOTAL]]*'Introducció criteris'!$E$15</f>
        <v>3200</v>
      </c>
      <c r="E16" s="10">
        <f>Taula389[[#This Row],[Producció]]/'Introducció criteris'!$E$21</f>
        <v>2.3703703703703702</v>
      </c>
      <c r="F16" s="35">
        <f>+Taula389[[#This Row],[Potència pic]]/'Introducció criteris'!$E$23</f>
        <v>11.851851851851851</v>
      </c>
      <c r="G16" s="117">
        <f>IF(Taula389[[#This Row],[Tipus subministrament]]="Quadre EP",0,Taula389[[#This Row],[Producció]]*'Introducció criteris'!$G$15)</f>
        <v>1600</v>
      </c>
      <c r="H16" s="117">
        <f>Taula389[[#This Row],[Producció]]-Taula389[[#This Row],[Autoconsum instantani]]-Taula389[[#This Row],[Abocament a xarxa sense compensar]]</f>
        <v>1440</v>
      </c>
      <c r="I16" s="117">
        <f>Taula389[[#This Row],[Producció]]*'Introducció criteris'!$I$15</f>
        <v>160</v>
      </c>
      <c r="J16" s="118">
        <f>Taula2[[#This Row],[CONSUM TOTAL]]-Taula389[[#This Row],[Autoconsum instantani]]</f>
        <v>1600</v>
      </c>
    </row>
    <row r="17" spans="1:10">
      <c r="A17" s="166">
        <f>'Introducció consums'!A17</f>
        <v>14</v>
      </c>
      <c r="B17" s="195" t="s">
        <v>33</v>
      </c>
      <c r="C17" t="str">
        <f>'Introducció consums'!C17</f>
        <v>Equipament 14</v>
      </c>
      <c r="D17" s="117">
        <f>Taula2[[#This Row],[CONSUM TOTAL]]*'Introducció criteris'!$E$15</f>
        <v>3300</v>
      </c>
      <c r="E17" s="10">
        <f>Taula389[[#This Row],[Producció]]/'Introducció criteris'!$E$21</f>
        <v>2.4444444444444446</v>
      </c>
      <c r="F17" s="35">
        <f>+Taula389[[#This Row],[Potència pic]]/'Introducció criteris'!$E$23</f>
        <v>12.222222222222223</v>
      </c>
      <c r="G17" s="117">
        <f>IF(Taula389[[#This Row],[Tipus subministrament]]="Quadre EP",0,Taula389[[#This Row],[Producció]]*'Introducció criteris'!$G$15)</f>
        <v>1650</v>
      </c>
      <c r="H17" s="117">
        <f>Taula389[[#This Row],[Producció]]-Taula389[[#This Row],[Autoconsum instantani]]-Taula389[[#This Row],[Abocament a xarxa sense compensar]]</f>
        <v>1485</v>
      </c>
      <c r="I17" s="117">
        <f>Taula389[[#This Row],[Producció]]*'Introducció criteris'!$I$15</f>
        <v>165</v>
      </c>
      <c r="J17" s="118">
        <f>Taula2[[#This Row],[CONSUM TOTAL]]-Taula389[[#This Row],[Autoconsum instantani]]</f>
        <v>1650</v>
      </c>
    </row>
    <row r="18" spans="1:10">
      <c r="A18" s="166">
        <f>'Introducció consums'!A18</f>
        <v>15</v>
      </c>
      <c r="B18" s="195" t="s">
        <v>33</v>
      </c>
      <c r="C18" t="str">
        <f>'Introducció consums'!C18</f>
        <v>Equipament 15</v>
      </c>
      <c r="D18" s="117">
        <f>Taula2[[#This Row],[CONSUM TOTAL]]*'Introducció criteris'!$E$15</f>
        <v>3400</v>
      </c>
      <c r="E18" s="10">
        <f>Taula389[[#This Row],[Producció]]/'Introducció criteris'!$E$21</f>
        <v>2.5185185185185186</v>
      </c>
      <c r="F18" s="35">
        <f>+Taula389[[#This Row],[Potència pic]]/'Introducció criteris'!$E$23</f>
        <v>12.592592592592592</v>
      </c>
      <c r="G18" s="117">
        <f>IF(Taula389[[#This Row],[Tipus subministrament]]="Quadre EP",0,Taula389[[#This Row],[Producció]]*'Introducció criteris'!$G$15)</f>
        <v>1700</v>
      </c>
      <c r="H18" s="117">
        <f>Taula389[[#This Row],[Producció]]-Taula389[[#This Row],[Autoconsum instantani]]-Taula389[[#This Row],[Abocament a xarxa sense compensar]]</f>
        <v>1530</v>
      </c>
      <c r="I18" s="117">
        <f>Taula389[[#This Row],[Producció]]*'Introducció criteris'!$I$15</f>
        <v>170</v>
      </c>
      <c r="J18" s="118">
        <f>Taula2[[#This Row],[CONSUM TOTAL]]-Taula389[[#This Row],[Autoconsum instantani]]</f>
        <v>1700</v>
      </c>
    </row>
    <row r="19" spans="1:10">
      <c r="A19" s="166">
        <f>'Introducció consums'!A19</f>
        <v>16</v>
      </c>
      <c r="B19" s="195" t="s">
        <v>66</v>
      </c>
      <c r="C19" t="str">
        <f>'Introducció consums'!C19</f>
        <v>Quadre EP 16</v>
      </c>
      <c r="D19" s="117">
        <f>Taula2[[#This Row],[CONSUM TOTAL]]*'Introducció criteris'!$E$15</f>
        <v>1700</v>
      </c>
      <c r="E19" s="10">
        <f>Taula389[[#This Row],[Producció]]/'Introducció criteris'!$E$21</f>
        <v>1.2592592592592593</v>
      </c>
      <c r="F19" s="35">
        <f>+Taula389[[#This Row],[Potència pic]]/'Introducció criteris'!$E$23</f>
        <v>6.2962962962962958</v>
      </c>
      <c r="G19" s="117">
        <f>IF(Taula389[[#This Row],[Tipus subministrament]]="Quadre EP",0,Taula389[[#This Row],[Producció]]*'Introducció criteris'!$G$15)</f>
        <v>0</v>
      </c>
      <c r="H19" s="117">
        <f>Taula389[[#This Row],[Producció]]-Taula389[[#This Row],[Autoconsum instantani]]-Taula389[[#This Row],[Abocament a xarxa sense compensar]]</f>
        <v>1615</v>
      </c>
      <c r="I19" s="117">
        <f>Taula389[[#This Row],[Producció]]*'Introducció criteris'!$I$15</f>
        <v>85</v>
      </c>
      <c r="J19" s="118">
        <f>Taula2[[#This Row],[CONSUM TOTAL]]-Taula389[[#This Row],[Autoconsum instantani]]</f>
        <v>1700</v>
      </c>
    </row>
    <row r="20" spans="1:10">
      <c r="A20" s="166">
        <f>'Introducció consums'!A20</f>
        <v>17</v>
      </c>
      <c r="B20" s="195" t="s">
        <v>66</v>
      </c>
      <c r="C20" t="str">
        <f>'Introducció consums'!C20</f>
        <v>Quadre EP 17</v>
      </c>
      <c r="D20" s="117">
        <f>Taula2[[#This Row],[CONSUM TOTAL]]*'Introducció criteris'!$E$15</f>
        <v>1720</v>
      </c>
      <c r="E20" s="10">
        <f>Taula389[[#This Row],[Producció]]/'Introducció criteris'!$E$21</f>
        <v>1.2740740740740741</v>
      </c>
      <c r="F20" s="35">
        <f>+Taula389[[#This Row],[Potència pic]]/'Introducció criteris'!$E$23</f>
        <v>6.3703703703703702</v>
      </c>
      <c r="G20" s="117">
        <f>IF(Taula389[[#This Row],[Tipus subministrament]]="Quadre EP",0,Taula389[[#This Row],[Producció]]*'Introducció criteris'!$G$15)</f>
        <v>0</v>
      </c>
      <c r="H20" s="117">
        <f>Taula389[[#This Row],[Producció]]-Taula389[[#This Row],[Autoconsum instantani]]-Taula389[[#This Row],[Abocament a xarxa sense compensar]]</f>
        <v>1634</v>
      </c>
      <c r="I20" s="117">
        <f>Taula389[[#This Row],[Producció]]*'Introducció criteris'!$I$15</f>
        <v>86</v>
      </c>
      <c r="J20" s="118">
        <f>Taula2[[#This Row],[CONSUM TOTAL]]-Taula389[[#This Row],[Autoconsum instantani]]</f>
        <v>1720</v>
      </c>
    </row>
    <row r="21" spans="1:10">
      <c r="A21" s="166">
        <f>'Introducció consums'!A21</f>
        <v>18</v>
      </c>
      <c r="B21" s="195" t="s">
        <v>66</v>
      </c>
      <c r="C21" t="str">
        <f>'Introducció consums'!C21</f>
        <v>Quadre EP 18</v>
      </c>
      <c r="D21" s="117">
        <f>Taula2[[#This Row],[CONSUM TOTAL]]*'Introducció criteris'!$E$15</f>
        <v>1740</v>
      </c>
      <c r="E21" s="10">
        <f>Taula389[[#This Row],[Producció]]/'Introducció criteris'!$E$21</f>
        <v>1.288888888888889</v>
      </c>
      <c r="F21" s="35">
        <f>+Taula389[[#This Row],[Potència pic]]/'Introducció criteris'!$E$23</f>
        <v>6.4444444444444446</v>
      </c>
      <c r="G21" s="117">
        <f>IF(Taula389[[#This Row],[Tipus subministrament]]="Quadre EP",0,Taula389[[#This Row],[Producció]]*'Introducció criteris'!$G$15)</f>
        <v>0</v>
      </c>
      <c r="H21" s="117">
        <f>Taula389[[#This Row],[Producció]]-Taula389[[#This Row],[Autoconsum instantani]]-Taula389[[#This Row],[Abocament a xarxa sense compensar]]</f>
        <v>1653</v>
      </c>
      <c r="I21" s="117">
        <f>Taula389[[#This Row],[Producció]]*'Introducció criteris'!$I$15</f>
        <v>87</v>
      </c>
      <c r="J21" s="118">
        <f>Taula2[[#This Row],[CONSUM TOTAL]]-Taula389[[#This Row],[Autoconsum instantani]]</f>
        <v>1740</v>
      </c>
    </row>
    <row r="22" spans="1:10">
      <c r="A22" s="166">
        <f>'Introducció consums'!A22</f>
        <v>19</v>
      </c>
      <c r="B22" s="195" t="s">
        <v>66</v>
      </c>
      <c r="C22" t="str">
        <f>'Introducció consums'!C22</f>
        <v>Quadre EP 19</v>
      </c>
      <c r="D22" s="117">
        <f>Taula2[[#This Row],[CONSUM TOTAL]]*'Introducció criteris'!$E$15</f>
        <v>1760</v>
      </c>
      <c r="E22" s="10">
        <f>Taula389[[#This Row],[Producció]]/'Introducció criteris'!$E$21</f>
        <v>1.3037037037037038</v>
      </c>
      <c r="F22" s="35">
        <f>+Taula389[[#This Row],[Potència pic]]/'Introducció criteris'!$E$23</f>
        <v>6.518518518518519</v>
      </c>
      <c r="G22" s="117">
        <f>IF(Taula389[[#This Row],[Tipus subministrament]]="Quadre EP",0,Taula389[[#This Row],[Producció]]*'Introducció criteris'!$G$15)</f>
        <v>0</v>
      </c>
      <c r="H22" s="117">
        <f>Taula389[[#This Row],[Producció]]-Taula389[[#This Row],[Autoconsum instantani]]-Taula389[[#This Row],[Abocament a xarxa sense compensar]]</f>
        <v>1672</v>
      </c>
      <c r="I22" s="117">
        <f>Taula389[[#This Row],[Producció]]*'Introducció criteris'!$I$15</f>
        <v>88</v>
      </c>
      <c r="J22" s="118">
        <f>Taula2[[#This Row],[CONSUM TOTAL]]-Taula389[[#This Row],[Autoconsum instantani]]</f>
        <v>1760</v>
      </c>
    </row>
    <row r="23" spans="1:10">
      <c r="A23" s="166">
        <f>'Introducció consums'!A23</f>
        <v>20</v>
      </c>
      <c r="B23" s="195" t="s">
        <v>66</v>
      </c>
      <c r="C23" t="str">
        <f>'Introducció consums'!C23</f>
        <v>Quadre EP 20</v>
      </c>
      <c r="D23" s="117">
        <f>Taula2[[#This Row],[CONSUM TOTAL]]*'Introducció criteris'!$E$15</f>
        <v>1780</v>
      </c>
      <c r="E23" s="10">
        <f>Taula389[[#This Row],[Producció]]/'Introducció criteris'!$E$21</f>
        <v>1.3185185185185184</v>
      </c>
      <c r="F23" s="35">
        <f>+Taula389[[#This Row],[Potència pic]]/'Introducció criteris'!$E$23</f>
        <v>6.5925925925925917</v>
      </c>
      <c r="G23" s="117">
        <f>IF(Taula389[[#This Row],[Tipus subministrament]]="Quadre EP",0,Taula389[[#This Row],[Producció]]*'Introducció criteris'!$G$15)</f>
        <v>0</v>
      </c>
      <c r="H23" s="117">
        <f>Taula389[[#This Row],[Producció]]-Taula389[[#This Row],[Autoconsum instantani]]-Taula389[[#This Row],[Abocament a xarxa sense compensar]]</f>
        <v>1691</v>
      </c>
      <c r="I23" s="117">
        <f>Taula389[[#This Row],[Producció]]*'Introducció criteris'!$I$15</f>
        <v>89</v>
      </c>
      <c r="J23" s="118">
        <f>Taula2[[#This Row],[CONSUM TOTAL]]-Taula389[[#This Row],[Autoconsum instantani]]</f>
        <v>1780</v>
      </c>
    </row>
    <row r="24" spans="1:10">
      <c r="A24" s="166">
        <f>'Introducció consums'!A24</f>
        <v>21</v>
      </c>
      <c r="B24" s="195" t="s">
        <v>66</v>
      </c>
      <c r="C24" t="str">
        <f>'Introducció consums'!C24</f>
        <v>Quadre EP 21</v>
      </c>
      <c r="D24" s="117">
        <f>Taula2[[#This Row],[CONSUM TOTAL]]*'Introducció criteris'!$E$15</f>
        <v>1800</v>
      </c>
      <c r="E24" s="10">
        <f>Taula389[[#This Row],[Producció]]/'Introducció criteris'!$E$21</f>
        <v>1.3333333333333333</v>
      </c>
      <c r="F24" s="35">
        <f>+Taula389[[#This Row],[Potència pic]]/'Introducció criteris'!$E$23</f>
        <v>6.6666666666666661</v>
      </c>
      <c r="G24" s="117">
        <f>IF(Taula389[[#This Row],[Tipus subministrament]]="Quadre EP",0,Taula389[[#This Row],[Producció]]*'Introducció criteris'!$G$15)</f>
        <v>0</v>
      </c>
      <c r="H24" s="117">
        <f>Taula389[[#This Row],[Producció]]-Taula389[[#This Row],[Autoconsum instantani]]-Taula389[[#This Row],[Abocament a xarxa sense compensar]]</f>
        <v>1710</v>
      </c>
      <c r="I24" s="117">
        <f>Taula389[[#This Row],[Producció]]*'Introducció criteris'!$I$15</f>
        <v>90</v>
      </c>
      <c r="J24" s="118">
        <f>Taula2[[#This Row],[CONSUM TOTAL]]-Taula389[[#This Row],[Autoconsum instantani]]</f>
        <v>1800</v>
      </c>
    </row>
    <row r="25" spans="1:10">
      <c r="A25" s="166">
        <f>'Introducció consums'!A25</f>
        <v>22</v>
      </c>
      <c r="B25" s="195" t="s">
        <v>66</v>
      </c>
      <c r="C25" t="str">
        <f>'Introducció consums'!C25</f>
        <v>Quadre EP 22</v>
      </c>
      <c r="D25" s="117">
        <f>Taula2[[#This Row],[CONSUM TOTAL]]*'Introducció criteris'!$E$15</f>
        <v>1820</v>
      </c>
      <c r="E25" s="10">
        <f>Taula389[[#This Row],[Producció]]/'Introducció criteris'!$E$21</f>
        <v>1.3481481481481481</v>
      </c>
      <c r="F25" s="35">
        <f>+Taula389[[#This Row],[Potència pic]]/'Introducció criteris'!$E$23</f>
        <v>6.7407407407407405</v>
      </c>
      <c r="G25" s="117">
        <f>IF(Taula389[[#This Row],[Tipus subministrament]]="Quadre EP",0,Taula389[[#This Row],[Producció]]*'Introducció criteris'!$G$15)</f>
        <v>0</v>
      </c>
      <c r="H25" s="117">
        <f>Taula389[[#This Row],[Producció]]-Taula389[[#This Row],[Autoconsum instantani]]-Taula389[[#This Row],[Abocament a xarxa sense compensar]]</f>
        <v>1729</v>
      </c>
      <c r="I25" s="117">
        <f>Taula389[[#This Row],[Producció]]*'Introducció criteris'!$I$15</f>
        <v>91</v>
      </c>
      <c r="J25" s="118">
        <f>Taula2[[#This Row],[CONSUM TOTAL]]-Taula389[[#This Row],[Autoconsum instantani]]</f>
        <v>1820</v>
      </c>
    </row>
    <row r="26" spans="1:10">
      <c r="A26" s="166">
        <f>'Introducció consums'!A26</f>
        <v>23</v>
      </c>
      <c r="B26" s="195" t="s">
        <v>66</v>
      </c>
      <c r="C26" t="str">
        <f>'Introducció consums'!C26</f>
        <v>Quadre EP 23</v>
      </c>
      <c r="D26" s="117">
        <f>Taula2[[#This Row],[CONSUM TOTAL]]*'Introducció criteris'!$E$15</f>
        <v>1840</v>
      </c>
      <c r="E26" s="10">
        <f>Taula389[[#This Row],[Producció]]/'Introducció criteris'!$E$21</f>
        <v>1.3629629629629629</v>
      </c>
      <c r="F26" s="35">
        <f>+Taula389[[#This Row],[Potència pic]]/'Introducció criteris'!$E$23</f>
        <v>6.814814814814814</v>
      </c>
      <c r="G26" s="117">
        <f>IF(Taula389[[#This Row],[Tipus subministrament]]="Quadre EP",0,Taula389[[#This Row],[Producció]]*'Introducció criteris'!$G$15)</f>
        <v>0</v>
      </c>
      <c r="H26" s="117">
        <f>Taula389[[#This Row],[Producció]]-Taula389[[#This Row],[Autoconsum instantani]]-Taula389[[#This Row],[Abocament a xarxa sense compensar]]</f>
        <v>1748</v>
      </c>
      <c r="I26" s="117">
        <f>Taula389[[#This Row],[Producció]]*'Introducció criteris'!$I$15</f>
        <v>92</v>
      </c>
      <c r="J26" s="118">
        <f>Taula2[[#This Row],[CONSUM TOTAL]]-Taula389[[#This Row],[Autoconsum instantani]]</f>
        <v>1840</v>
      </c>
    </row>
    <row r="27" spans="1:10">
      <c r="A27" s="166">
        <f>'Introducció consums'!A27</f>
        <v>24</v>
      </c>
      <c r="B27" s="195" t="s">
        <v>66</v>
      </c>
      <c r="C27" t="str">
        <f>'Introducció consums'!C27</f>
        <v>Quadre EP 24</v>
      </c>
      <c r="D27" s="117">
        <f>Taula2[[#This Row],[CONSUM TOTAL]]*'Introducció criteris'!$E$15</f>
        <v>1860</v>
      </c>
      <c r="E27" s="10">
        <f>Taula389[[#This Row],[Producció]]/'Introducció criteris'!$E$21</f>
        <v>1.3777777777777778</v>
      </c>
      <c r="F27" s="35">
        <f>+Taula389[[#This Row],[Potència pic]]/'Introducció criteris'!$E$23</f>
        <v>6.8888888888888884</v>
      </c>
      <c r="G27" s="117">
        <f>IF(Taula389[[#This Row],[Tipus subministrament]]="Quadre EP",0,Taula389[[#This Row],[Producció]]*'Introducció criteris'!$G$15)</f>
        <v>0</v>
      </c>
      <c r="H27" s="117">
        <f>Taula389[[#This Row],[Producció]]-Taula389[[#This Row],[Autoconsum instantani]]-Taula389[[#This Row],[Abocament a xarxa sense compensar]]</f>
        <v>1767</v>
      </c>
      <c r="I27" s="117">
        <f>Taula389[[#This Row],[Producció]]*'Introducció criteris'!$I$15</f>
        <v>93</v>
      </c>
      <c r="J27" s="118">
        <f>Taula2[[#This Row],[CONSUM TOTAL]]-Taula389[[#This Row],[Autoconsum instantani]]</f>
        <v>1860</v>
      </c>
    </row>
    <row r="28" spans="1:10">
      <c r="A28" s="166">
        <f>'Introducció consums'!A28</f>
        <v>25</v>
      </c>
      <c r="B28" s="195" t="s">
        <v>66</v>
      </c>
      <c r="C28" t="str">
        <f>'Introducció consums'!C28</f>
        <v>Quadre EP 25</v>
      </c>
      <c r="D28" s="117">
        <f>Taula2[[#This Row],[CONSUM TOTAL]]*'Introducció criteris'!$E$15</f>
        <v>1880</v>
      </c>
      <c r="E28" s="10">
        <f>Taula389[[#This Row],[Producció]]/'Introducció criteris'!$E$21</f>
        <v>1.3925925925925926</v>
      </c>
      <c r="F28" s="35">
        <f>+Taula389[[#This Row],[Potència pic]]/'Introducció criteris'!$E$23</f>
        <v>6.9629629629629628</v>
      </c>
      <c r="G28" s="117">
        <f>IF(Taula389[[#This Row],[Tipus subministrament]]="Quadre EP",0,Taula389[[#This Row],[Producció]]*'Introducció criteris'!$G$15)</f>
        <v>0</v>
      </c>
      <c r="H28" s="117">
        <f>Taula389[[#This Row],[Producció]]-Taula389[[#This Row],[Autoconsum instantani]]-Taula389[[#This Row],[Abocament a xarxa sense compensar]]</f>
        <v>1786</v>
      </c>
      <c r="I28" s="117">
        <f>Taula389[[#This Row],[Producció]]*'Introducció criteris'!$I$15</f>
        <v>94</v>
      </c>
      <c r="J28" s="118">
        <f>Taula2[[#This Row],[CONSUM TOTAL]]-Taula389[[#This Row],[Autoconsum instantani]]</f>
        <v>1880</v>
      </c>
    </row>
    <row r="29" spans="1:10">
      <c r="A29" s="166">
        <f>'Introducció consums'!A29</f>
        <v>26</v>
      </c>
      <c r="B29" s="195" t="s">
        <v>66</v>
      </c>
      <c r="C29" t="str">
        <f>'Introducció consums'!C29</f>
        <v>Quadre EP 26</v>
      </c>
      <c r="D29" s="117">
        <f>Taula2[[#This Row],[CONSUM TOTAL]]*'Introducció criteris'!$E$15</f>
        <v>1900</v>
      </c>
      <c r="E29" s="10">
        <f>Taula389[[#This Row],[Producció]]/'Introducció criteris'!$E$21</f>
        <v>1.4074074074074074</v>
      </c>
      <c r="F29" s="35">
        <f>+Taula389[[#This Row],[Potència pic]]/'Introducció criteris'!$E$23</f>
        <v>7.0370370370370372</v>
      </c>
      <c r="G29" s="117">
        <f>IF(Taula389[[#This Row],[Tipus subministrament]]="Quadre EP",0,Taula389[[#This Row],[Producció]]*'Introducció criteris'!$G$15)</f>
        <v>0</v>
      </c>
      <c r="H29" s="117">
        <f>Taula389[[#This Row],[Producció]]-Taula389[[#This Row],[Autoconsum instantani]]-Taula389[[#This Row],[Abocament a xarxa sense compensar]]</f>
        <v>1805</v>
      </c>
      <c r="I29" s="117">
        <f>Taula389[[#This Row],[Producció]]*'Introducció criteris'!$I$15</f>
        <v>95</v>
      </c>
      <c r="J29" s="118">
        <f>Taula2[[#This Row],[CONSUM TOTAL]]-Taula389[[#This Row],[Autoconsum instantani]]</f>
        <v>1900</v>
      </c>
    </row>
    <row r="30" spans="1:10">
      <c r="A30" s="166">
        <f>'Introducció consums'!A30</f>
        <v>27</v>
      </c>
      <c r="B30" s="195" t="s">
        <v>66</v>
      </c>
      <c r="C30" t="str">
        <f>'Introducció consums'!C30</f>
        <v>Quadre EP 27</v>
      </c>
      <c r="D30" s="117">
        <f>Taula2[[#This Row],[CONSUM TOTAL]]*'Introducció criteris'!$E$15</f>
        <v>1920</v>
      </c>
      <c r="E30" s="10">
        <f>Taula389[[#This Row],[Producció]]/'Introducció criteris'!$E$21</f>
        <v>1.4222222222222223</v>
      </c>
      <c r="F30" s="35">
        <f>+Taula389[[#This Row],[Potència pic]]/'Introducció criteris'!$E$23</f>
        <v>7.1111111111111107</v>
      </c>
      <c r="G30" s="117">
        <f>IF(Taula389[[#This Row],[Tipus subministrament]]="Quadre EP",0,Taula389[[#This Row],[Producció]]*'Introducció criteris'!$G$15)</f>
        <v>0</v>
      </c>
      <c r="H30" s="117">
        <f>Taula389[[#This Row],[Producció]]-Taula389[[#This Row],[Autoconsum instantani]]-Taula389[[#This Row],[Abocament a xarxa sense compensar]]</f>
        <v>1824</v>
      </c>
      <c r="I30" s="117">
        <f>Taula389[[#This Row],[Producció]]*'Introducció criteris'!$I$15</f>
        <v>96</v>
      </c>
      <c r="J30" s="118">
        <f>Taula2[[#This Row],[CONSUM TOTAL]]-Taula389[[#This Row],[Autoconsum instantani]]</f>
        <v>1920</v>
      </c>
    </row>
    <row r="31" spans="1:10">
      <c r="A31" s="166">
        <f>'Introducció consums'!A31</f>
        <v>28</v>
      </c>
      <c r="B31" s="195" t="s">
        <v>66</v>
      </c>
      <c r="C31" t="str">
        <f>'Introducció consums'!C31</f>
        <v>Quadre EP 28</v>
      </c>
      <c r="D31" s="117">
        <f>Taula2[[#This Row],[CONSUM TOTAL]]*'Introducció criteris'!$E$15</f>
        <v>1940</v>
      </c>
      <c r="E31" s="10">
        <f>Taula389[[#This Row],[Producció]]/'Introducció criteris'!$E$21</f>
        <v>1.4370370370370371</v>
      </c>
      <c r="F31" s="35">
        <f>+Taula389[[#This Row],[Potència pic]]/'Introducció criteris'!$E$23</f>
        <v>7.1851851851851851</v>
      </c>
      <c r="G31" s="117">
        <f>IF(Taula389[[#This Row],[Tipus subministrament]]="Quadre EP",0,Taula389[[#This Row],[Producció]]*'Introducció criteris'!$G$15)</f>
        <v>0</v>
      </c>
      <c r="H31" s="117">
        <f>Taula389[[#This Row],[Producció]]-Taula389[[#This Row],[Autoconsum instantani]]-Taula389[[#This Row],[Abocament a xarxa sense compensar]]</f>
        <v>1843</v>
      </c>
      <c r="I31" s="117">
        <f>Taula389[[#This Row],[Producció]]*'Introducció criteris'!$I$15</f>
        <v>97</v>
      </c>
      <c r="J31" s="118">
        <f>Taula2[[#This Row],[CONSUM TOTAL]]-Taula389[[#This Row],[Autoconsum instantani]]</f>
        <v>1940</v>
      </c>
    </row>
    <row r="32" spans="1:10">
      <c r="A32" s="166">
        <f>'Introducció consums'!A32</f>
        <v>29</v>
      </c>
      <c r="B32" s="195" t="s">
        <v>66</v>
      </c>
      <c r="C32" t="str">
        <f>'Introducció consums'!C32</f>
        <v>Quadre EP 29</v>
      </c>
      <c r="D32" s="117">
        <f>Taula2[[#This Row],[CONSUM TOTAL]]*'Introducció criteris'!$E$15</f>
        <v>1960</v>
      </c>
      <c r="E32" s="10">
        <f>Taula389[[#This Row],[Producció]]/'Introducció criteris'!$E$21</f>
        <v>1.4518518518518519</v>
      </c>
      <c r="F32" s="35">
        <f>+Taula389[[#This Row],[Potència pic]]/'Introducció criteris'!$E$23</f>
        <v>7.2592592592592595</v>
      </c>
      <c r="G32" s="117">
        <f>IF(Taula389[[#This Row],[Tipus subministrament]]="Quadre EP",0,Taula389[[#This Row],[Producció]]*'Introducció criteris'!$G$15)</f>
        <v>0</v>
      </c>
      <c r="H32" s="117">
        <f>Taula389[[#This Row],[Producció]]-Taula389[[#This Row],[Autoconsum instantani]]-Taula389[[#This Row],[Abocament a xarxa sense compensar]]</f>
        <v>1862</v>
      </c>
      <c r="I32" s="117">
        <f>Taula389[[#This Row],[Producció]]*'Introducció criteris'!$I$15</f>
        <v>98</v>
      </c>
      <c r="J32" s="118">
        <f>Taula2[[#This Row],[CONSUM TOTAL]]-Taula389[[#This Row],[Autoconsum instantani]]</f>
        <v>1960</v>
      </c>
    </row>
    <row r="33" spans="1:10">
      <c r="A33" s="166">
        <f>'Introducció consums'!A33</f>
        <v>30</v>
      </c>
      <c r="B33" s="195" t="s">
        <v>66</v>
      </c>
      <c r="C33" t="str">
        <f>'Introducció consums'!C33</f>
        <v>Quadre EP 30</v>
      </c>
      <c r="D33" s="117">
        <f>Taula2[[#This Row],[CONSUM TOTAL]]*'Introducció criteris'!$E$15</f>
        <v>1980</v>
      </c>
      <c r="E33" s="10">
        <f>Taula389[[#This Row],[Producció]]/'Introducció criteris'!$E$21</f>
        <v>1.4666666666666666</v>
      </c>
      <c r="F33" s="35">
        <f>+Taula389[[#This Row],[Potència pic]]/'Introducció criteris'!$E$23</f>
        <v>7.3333333333333321</v>
      </c>
      <c r="G33" s="117">
        <f>IF(Taula389[[#This Row],[Tipus subministrament]]="Quadre EP",0,Taula389[[#This Row],[Producció]]*'Introducció criteris'!$G$15)</f>
        <v>0</v>
      </c>
      <c r="H33" s="117">
        <f>Taula389[[#This Row],[Producció]]-Taula389[[#This Row],[Autoconsum instantani]]-Taula389[[#This Row],[Abocament a xarxa sense compensar]]</f>
        <v>1881</v>
      </c>
      <c r="I33" s="117">
        <f>Taula389[[#This Row],[Producció]]*'Introducció criteris'!$I$15</f>
        <v>99</v>
      </c>
      <c r="J33" s="118">
        <f>Taula2[[#This Row],[CONSUM TOTAL]]-Taula389[[#This Row],[Autoconsum instantani]]</f>
        <v>1980</v>
      </c>
    </row>
    <row r="34" spans="1:10">
      <c r="A34" s="166">
        <f>'Introducció consums'!A34</f>
        <v>31</v>
      </c>
      <c r="B34" s="195" t="s">
        <v>66</v>
      </c>
      <c r="C34" t="str">
        <f>'Introducció consums'!C34</f>
        <v>Quadre EP 31</v>
      </c>
      <c r="D34" s="117">
        <f>Taula2[[#This Row],[CONSUM TOTAL]]*'Introducció criteris'!$E$15</f>
        <v>2000</v>
      </c>
      <c r="E34" s="10">
        <f>Taula389[[#This Row],[Producció]]/'Introducció criteris'!$E$21</f>
        <v>1.4814814814814814</v>
      </c>
      <c r="F34" s="35">
        <f>+Taula389[[#This Row],[Potència pic]]/'Introducció criteris'!$E$23</f>
        <v>7.4074074074074066</v>
      </c>
      <c r="G34" s="117">
        <f>IF(Taula389[[#This Row],[Tipus subministrament]]="Quadre EP",0,Taula389[[#This Row],[Producció]]*'Introducció criteris'!$G$15)</f>
        <v>0</v>
      </c>
      <c r="H34" s="117">
        <f>Taula389[[#This Row],[Producció]]-Taula389[[#This Row],[Autoconsum instantani]]-Taula389[[#This Row],[Abocament a xarxa sense compensar]]</f>
        <v>1900</v>
      </c>
      <c r="I34" s="117">
        <f>Taula389[[#This Row],[Producció]]*'Introducció criteris'!$I$15</f>
        <v>100</v>
      </c>
      <c r="J34" s="118">
        <f>Taula2[[#This Row],[CONSUM TOTAL]]-Taula389[[#This Row],[Autoconsum instantani]]</f>
        <v>2000</v>
      </c>
    </row>
    <row r="35" spans="1:10">
      <c r="A35" s="166">
        <f>'Introducció consums'!A35</f>
        <v>32</v>
      </c>
      <c r="B35" s="195" t="s">
        <v>66</v>
      </c>
      <c r="C35" t="str">
        <f>'Introducció consums'!C35</f>
        <v>Quadre EP 32</v>
      </c>
      <c r="D35" s="117">
        <f>Taula2[[#This Row],[CONSUM TOTAL]]*'Introducció criteris'!$E$15</f>
        <v>2020</v>
      </c>
      <c r="E35" s="10">
        <f>Taula389[[#This Row],[Producció]]/'Introducció criteris'!$E$21</f>
        <v>1.4962962962962962</v>
      </c>
      <c r="F35" s="35">
        <f>+Taula389[[#This Row],[Potència pic]]/'Introducció criteris'!$E$23</f>
        <v>7.481481481481481</v>
      </c>
      <c r="G35" s="117">
        <f>IF(Taula389[[#This Row],[Tipus subministrament]]="Quadre EP",0,Taula389[[#This Row],[Producció]]*'Introducció criteris'!$G$15)</f>
        <v>0</v>
      </c>
      <c r="H35" s="117">
        <f>Taula389[[#This Row],[Producció]]-Taula389[[#This Row],[Autoconsum instantani]]-Taula389[[#This Row],[Abocament a xarxa sense compensar]]</f>
        <v>1919</v>
      </c>
      <c r="I35" s="117">
        <f>Taula389[[#This Row],[Producció]]*'Introducció criteris'!$I$15</f>
        <v>101</v>
      </c>
      <c r="J35" s="118">
        <f>Taula2[[#This Row],[CONSUM TOTAL]]-Taula389[[#This Row],[Autoconsum instantani]]</f>
        <v>2020</v>
      </c>
    </row>
    <row r="36" spans="1:10">
      <c r="A36" s="166">
        <f>'Introducció consums'!A36</f>
        <v>33</v>
      </c>
      <c r="B36" s="195" t="s">
        <v>66</v>
      </c>
      <c r="C36" t="str">
        <f>'Introducció consums'!C36</f>
        <v>Quadre EP 33</v>
      </c>
      <c r="D36" s="117">
        <f>Taula2[[#This Row],[CONSUM TOTAL]]*'Introducció criteris'!$E$15</f>
        <v>2040</v>
      </c>
      <c r="E36" s="10">
        <f>Taula389[[#This Row],[Producció]]/'Introducció criteris'!$E$21</f>
        <v>1.5111111111111111</v>
      </c>
      <c r="F36" s="35">
        <f>+Taula389[[#This Row],[Potència pic]]/'Introducció criteris'!$E$23</f>
        <v>7.5555555555555554</v>
      </c>
      <c r="G36" s="117">
        <f>IF(Taula389[[#This Row],[Tipus subministrament]]="Quadre EP",0,Taula389[[#This Row],[Producció]]*'Introducció criteris'!$G$15)</f>
        <v>0</v>
      </c>
      <c r="H36" s="117">
        <f>Taula389[[#This Row],[Producció]]-Taula389[[#This Row],[Autoconsum instantani]]-Taula389[[#This Row],[Abocament a xarxa sense compensar]]</f>
        <v>1938</v>
      </c>
      <c r="I36" s="117">
        <f>Taula389[[#This Row],[Producció]]*'Introducció criteris'!$I$15</f>
        <v>102</v>
      </c>
      <c r="J36" s="118">
        <f>Taula2[[#This Row],[CONSUM TOTAL]]-Taula389[[#This Row],[Autoconsum instantani]]</f>
        <v>2040</v>
      </c>
    </row>
    <row r="37" spans="1:10">
      <c r="A37" s="166">
        <f>'Introducció consums'!A37</f>
        <v>34</v>
      </c>
      <c r="B37" s="195" t="s">
        <v>66</v>
      </c>
      <c r="C37" t="str">
        <f>'Introducció consums'!C37</f>
        <v>Quadre EP 34</v>
      </c>
      <c r="D37" s="117">
        <f>Taula2[[#This Row],[CONSUM TOTAL]]*'Introducció criteris'!$E$15</f>
        <v>2060</v>
      </c>
      <c r="E37" s="10">
        <f>Taula389[[#This Row],[Producció]]/'Introducció criteris'!$E$21</f>
        <v>1.5259259259259259</v>
      </c>
      <c r="F37" s="35">
        <f>+Taula389[[#This Row],[Potència pic]]/'Introducció criteris'!$E$23</f>
        <v>7.6296296296296289</v>
      </c>
      <c r="G37" s="117">
        <f>IF(Taula389[[#This Row],[Tipus subministrament]]="Quadre EP",0,Taula389[[#This Row],[Producció]]*'Introducció criteris'!$G$15)</f>
        <v>0</v>
      </c>
      <c r="H37" s="117">
        <f>Taula389[[#This Row],[Producció]]-Taula389[[#This Row],[Autoconsum instantani]]-Taula389[[#This Row],[Abocament a xarxa sense compensar]]</f>
        <v>1957</v>
      </c>
      <c r="I37" s="117">
        <f>Taula389[[#This Row],[Producció]]*'Introducció criteris'!$I$15</f>
        <v>103</v>
      </c>
      <c r="J37" s="118">
        <f>Taula2[[#This Row],[CONSUM TOTAL]]-Taula389[[#This Row],[Autoconsum instantani]]</f>
        <v>2060</v>
      </c>
    </row>
    <row r="38" spans="1:10">
      <c r="A38" s="166">
        <f>'Introducció consums'!A38</f>
        <v>35</v>
      </c>
      <c r="B38" s="195" t="s">
        <v>66</v>
      </c>
      <c r="C38" t="str">
        <f>'Introducció consums'!C38</f>
        <v>Quadre EP 35</v>
      </c>
      <c r="D38" s="117">
        <f>Taula2[[#This Row],[CONSUM TOTAL]]*'Introducció criteris'!$E$15</f>
        <v>2080</v>
      </c>
      <c r="E38" s="10">
        <f>Taula389[[#This Row],[Producció]]/'Introducció criteris'!$E$21</f>
        <v>1.5407407407407407</v>
      </c>
      <c r="F38" s="35">
        <f>+Taula389[[#This Row],[Potència pic]]/'Introducció criteris'!$E$23</f>
        <v>7.7037037037037033</v>
      </c>
      <c r="G38" s="117">
        <f>IF(Taula389[[#This Row],[Tipus subministrament]]="Quadre EP",0,Taula389[[#This Row],[Producció]]*'Introducció criteris'!$G$15)</f>
        <v>0</v>
      </c>
      <c r="H38" s="117">
        <f>Taula389[[#This Row],[Producció]]-Taula389[[#This Row],[Autoconsum instantani]]-Taula389[[#This Row],[Abocament a xarxa sense compensar]]</f>
        <v>1976</v>
      </c>
      <c r="I38" s="117">
        <f>Taula389[[#This Row],[Producció]]*'Introducció criteris'!$I$15</f>
        <v>104</v>
      </c>
      <c r="J38" s="118">
        <f>Taula2[[#This Row],[CONSUM TOTAL]]-Taula389[[#This Row],[Autoconsum instantani]]</f>
        <v>2080</v>
      </c>
    </row>
    <row r="39" spans="1:10">
      <c r="A39" s="166">
        <f>'Introducció consums'!A39</f>
        <v>36</v>
      </c>
      <c r="B39" s="195" t="s">
        <v>66</v>
      </c>
      <c r="C39" t="str">
        <f>'Introducció consums'!C39</f>
        <v>Quadre EP 36</v>
      </c>
      <c r="D39" s="117">
        <f>Taula2[[#This Row],[CONSUM TOTAL]]*'Introducció criteris'!$E$15</f>
        <v>2100</v>
      </c>
      <c r="E39" s="10">
        <f>Taula389[[#This Row],[Producció]]/'Introducció criteris'!$E$21</f>
        <v>1.5555555555555556</v>
      </c>
      <c r="F39" s="35">
        <f>+Taula389[[#This Row],[Potència pic]]/'Introducció criteris'!$E$23</f>
        <v>7.7777777777777777</v>
      </c>
      <c r="G39" s="117">
        <f>IF(Taula389[[#This Row],[Tipus subministrament]]="Quadre EP",0,Taula389[[#This Row],[Producció]]*'Introducció criteris'!$G$15)</f>
        <v>0</v>
      </c>
      <c r="H39" s="117">
        <f>Taula389[[#This Row],[Producció]]-Taula389[[#This Row],[Autoconsum instantani]]-Taula389[[#This Row],[Abocament a xarxa sense compensar]]</f>
        <v>1995</v>
      </c>
      <c r="I39" s="117">
        <f>Taula389[[#This Row],[Producció]]*'Introducció criteris'!$I$15</f>
        <v>105</v>
      </c>
      <c r="J39" s="118">
        <f>Taula2[[#This Row],[CONSUM TOTAL]]-Taula389[[#This Row],[Autoconsum instantani]]</f>
        <v>2100</v>
      </c>
    </row>
    <row r="40" spans="1:10">
      <c r="A40" s="166">
        <f>'Introducció consums'!A40</f>
        <v>37</v>
      </c>
      <c r="B40" s="195" t="s">
        <v>66</v>
      </c>
      <c r="C40" t="str">
        <f>'Introducció consums'!C40</f>
        <v>Quadre EP 37</v>
      </c>
      <c r="D40" s="117">
        <f>Taula2[[#This Row],[CONSUM TOTAL]]*'Introducció criteris'!$E$15</f>
        <v>2120</v>
      </c>
      <c r="E40" s="10">
        <f>Taula389[[#This Row],[Producció]]/'Introducció criteris'!$E$21</f>
        <v>1.5703703703703704</v>
      </c>
      <c r="F40" s="35">
        <f>+Taula389[[#This Row],[Potència pic]]/'Introducció criteris'!$E$23</f>
        <v>7.8518518518518521</v>
      </c>
      <c r="G40" s="117">
        <f>IF(Taula389[[#This Row],[Tipus subministrament]]="Quadre EP",0,Taula389[[#This Row],[Producció]]*'Introducció criteris'!$G$15)</f>
        <v>0</v>
      </c>
      <c r="H40" s="117">
        <f>Taula389[[#This Row],[Producció]]-Taula389[[#This Row],[Autoconsum instantani]]-Taula389[[#This Row],[Abocament a xarxa sense compensar]]</f>
        <v>2014</v>
      </c>
      <c r="I40" s="117">
        <f>Taula389[[#This Row],[Producció]]*'Introducció criteris'!$I$15</f>
        <v>106</v>
      </c>
      <c r="J40" s="118">
        <f>Taula2[[#This Row],[CONSUM TOTAL]]-Taula389[[#This Row],[Autoconsum instantani]]</f>
        <v>2120</v>
      </c>
    </row>
    <row r="41" spans="1:10">
      <c r="A41" s="166">
        <f>'Introducció consums'!A41</f>
        <v>38</v>
      </c>
      <c r="B41" s="195" t="s">
        <v>66</v>
      </c>
      <c r="C41" t="str">
        <f>'Introducció consums'!C41</f>
        <v>Quadre EP 38</v>
      </c>
      <c r="D41" s="117">
        <f>Taula2[[#This Row],[CONSUM TOTAL]]*'Introducció criteris'!$E$15</f>
        <v>2140</v>
      </c>
      <c r="E41" s="10">
        <f>Taula389[[#This Row],[Producció]]/'Introducció criteris'!$E$21</f>
        <v>1.5851851851851853</v>
      </c>
      <c r="F41" s="35">
        <f>+Taula389[[#This Row],[Potència pic]]/'Introducció criteris'!$E$23</f>
        <v>7.9259259259259256</v>
      </c>
      <c r="G41" s="117">
        <f>IF(Taula389[[#This Row],[Tipus subministrament]]="Quadre EP",0,Taula389[[#This Row],[Producció]]*'Introducció criteris'!$G$15)</f>
        <v>0</v>
      </c>
      <c r="H41" s="117">
        <f>Taula389[[#This Row],[Producció]]-Taula389[[#This Row],[Autoconsum instantani]]-Taula389[[#This Row],[Abocament a xarxa sense compensar]]</f>
        <v>2033</v>
      </c>
      <c r="I41" s="117">
        <f>Taula389[[#This Row],[Producció]]*'Introducció criteris'!$I$15</f>
        <v>107</v>
      </c>
      <c r="J41" s="118">
        <f>Taula2[[#This Row],[CONSUM TOTAL]]-Taula389[[#This Row],[Autoconsum instantani]]</f>
        <v>2140</v>
      </c>
    </row>
    <row r="42" spans="1:10">
      <c r="A42" s="166">
        <f>'Introducció consums'!A42</f>
        <v>39</v>
      </c>
      <c r="B42" s="195" t="s">
        <v>66</v>
      </c>
      <c r="C42" t="str">
        <f>'Introducció consums'!C42</f>
        <v>Quadre EP 39</v>
      </c>
      <c r="D42" s="117">
        <f>Taula2[[#This Row],[CONSUM TOTAL]]*'Introducció criteris'!$E$15</f>
        <v>2160</v>
      </c>
      <c r="E42" s="10">
        <f>Taula389[[#This Row],[Producció]]/'Introducció criteris'!$E$21</f>
        <v>1.6</v>
      </c>
      <c r="F42" s="35">
        <f>+Taula389[[#This Row],[Potència pic]]/'Introducció criteris'!$E$23</f>
        <v>8</v>
      </c>
      <c r="G42" s="117">
        <f>IF(Taula389[[#This Row],[Tipus subministrament]]="Quadre EP",0,Taula389[[#This Row],[Producció]]*'Introducció criteris'!$G$15)</f>
        <v>0</v>
      </c>
      <c r="H42" s="117">
        <f>Taula389[[#This Row],[Producció]]-Taula389[[#This Row],[Autoconsum instantani]]-Taula389[[#This Row],[Abocament a xarxa sense compensar]]</f>
        <v>2052</v>
      </c>
      <c r="I42" s="117">
        <f>Taula389[[#This Row],[Producció]]*'Introducció criteris'!$I$15</f>
        <v>108</v>
      </c>
      <c r="J42" s="118">
        <f>Taula2[[#This Row],[CONSUM TOTAL]]-Taula389[[#This Row],[Autoconsum instantani]]</f>
        <v>2160</v>
      </c>
    </row>
    <row r="43" spans="1:10">
      <c r="A43" s="166">
        <f>'Introducció consums'!A43</f>
        <v>40</v>
      </c>
      <c r="B43" s="195" t="s">
        <v>66</v>
      </c>
      <c r="C43" t="str">
        <f>'Introducció consums'!C43</f>
        <v>Quadre EP 40</v>
      </c>
      <c r="D43" s="117">
        <f>Taula2[[#This Row],[CONSUM TOTAL]]*'Introducció criteris'!$E$15</f>
        <v>2180</v>
      </c>
      <c r="E43" s="10">
        <f>Taula389[[#This Row],[Producció]]/'Introducció criteris'!$E$21</f>
        <v>1.6148148148148149</v>
      </c>
      <c r="F43" s="35">
        <f>+Taula389[[#This Row],[Potència pic]]/'Introducció criteris'!$E$23</f>
        <v>8.0740740740740744</v>
      </c>
      <c r="G43" s="117">
        <f>IF(Taula389[[#This Row],[Tipus subministrament]]="Quadre EP",0,Taula389[[#This Row],[Producció]]*'Introducció criteris'!$G$15)</f>
        <v>0</v>
      </c>
      <c r="H43" s="117">
        <f>Taula389[[#This Row],[Producció]]-Taula389[[#This Row],[Autoconsum instantani]]-Taula389[[#This Row],[Abocament a xarxa sense compensar]]</f>
        <v>2071</v>
      </c>
      <c r="I43" s="117">
        <f>Taula389[[#This Row],[Producció]]*'Introducció criteris'!$I$15</f>
        <v>109</v>
      </c>
      <c r="J43" s="118">
        <f>Taula2[[#This Row],[CONSUM TOTAL]]-Taula389[[#This Row],[Autoconsum instantani]]</f>
        <v>2180</v>
      </c>
    </row>
    <row r="44" spans="1:10">
      <c r="A44" s="166">
        <f>'Introducció consums'!A44</f>
        <v>41</v>
      </c>
      <c r="B44" s="195" t="s">
        <v>66</v>
      </c>
      <c r="C44" t="str">
        <f>'Introducció consums'!C44</f>
        <v>Quadre EP 41</v>
      </c>
      <c r="D44" s="117">
        <f>Taula2[[#This Row],[CONSUM TOTAL]]*'Introducció criteris'!$E$15</f>
        <v>2200</v>
      </c>
      <c r="E44" s="10">
        <f>Taula389[[#This Row],[Producció]]/'Introducció criteris'!$E$21</f>
        <v>1.6296296296296295</v>
      </c>
      <c r="F44" s="35">
        <f>+Taula389[[#This Row],[Potència pic]]/'Introducció criteris'!$E$23</f>
        <v>8.148148148148147</v>
      </c>
      <c r="G44" s="117">
        <f>IF(Taula389[[#This Row],[Tipus subministrament]]="Quadre EP",0,Taula389[[#This Row],[Producció]]*'Introducció criteris'!$G$15)</f>
        <v>0</v>
      </c>
      <c r="H44" s="117">
        <f>Taula389[[#This Row],[Producció]]-Taula389[[#This Row],[Autoconsum instantani]]-Taula389[[#This Row],[Abocament a xarxa sense compensar]]</f>
        <v>2090</v>
      </c>
      <c r="I44" s="117">
        <f>Taula389[[#This Row],[Producció]]*'Introducció criteris'!$I$15</f>
        <v>110</v>
      </c>
      <c r="J44" s="118">
        <f>Taula2[[#This Row],[CONSUM TOTAL]]-Taula389[[#This Row],[Autoconsum instantani]]</f>
        <v>2200</v>
      </c>
    </row>
    <row r="45" spans="1:10">
      <c r="A45" s="166">
        <f>'Introducció consums'!A45</f>
        <v>42</v>
      </c>
      <c r="B45" s="195" t="s">
        <v>66</v>
      </c>
      <c r="C45" t="str">
        <f>'Introducció consums'!C45</f>
        <v>Quadre EP 42</v>
      </c>
      <c r="D45" s="117">
        <f>Taula2[[#This Row],[CONSUM TOTAL]]*'Introducció criteris'!$E$15</f>
        <v>2220</v>
      </c>
      <c r="E45" s="10">
        <f>Taula389[[#This Row],[Producció]]/'Introducció criteris'!$E$21</f>
        <v>1.6444444444444444</v>
      </c>
      <c r="F45" s="35">
        <f>+Taula389[[#This Row],[Potència pic]]/'Introducció criteris'!$E$23</f>
        <v>8.2222222222222214</v>
      </c>
      <c r="G45" s="117">
        <f>IF(Taula389[[#This Row],[Tipus subministrament]]="Quadre EP",0,Taula389[[#This Row],[Producció]]*'Introducció criteris'!$G$15)</f>
        <v>0</v>
      </c>
      <c r="H45" s="117">
        <f>Taula389[[#This Row],[Producció]]-Taula389[[#This Row],[Autoconsum instantani]]-Taula389[[#This Row],[Abocament a xarxa sense compensar]]</f>
        <v>2109</v>
      </c>
      <c r="I45" s="117">
        <f>Taula389[[#This Row],[Producció]]*'Introducció criteris'!$I$15</f>
        <v>111</v>
      </c>
      <c r="J45" s="118">
        <f>Taula2[[#This Row],[CONSUM TOTAL]]-Taula389[[#This Row],[Autoconsum instantani]]</f>
        <v>2220</v>
      </c>
    </row>
    <row r="46" spans="1:10">
      <c r="A46" s="166">
        <f>'Introducció consums'!A46</f>
        <v>43</v>
      </c>
      <c r="B46" s="195" t="s">
        <v>66</v>
      </c>
      <c r="C46" t="str">
        <f>'Introducció consums'!C46</f>
        <v>Quadre EP 43</v>
      </c>
      <c r="D46" s="117">
        <f>Taula2[[#This Row],[CONSUM TOTAL]]*'Introducció criteris'!$E$15</f>
        <v>2240</v>
      </c>
      <c r="E46" s="10">
        <f>Taula389[[#This Row],[Producció]]/'Introducció criteris'!$E$21</f>
        <v>1.6592592592592592</v>
      </c>
      <c r="F46" s="35">
        <f>+Taula389[[#This Row],[Potència pic]]/'Introducció criteris'!$E$23</f>
        <v>8.2962962962962958</v>
      </c>
      <c r="G46" s="117">
        <f>IF(Taula389[[#This Row],[Tipus subministrament]]="Quadre EP",0,Taula389[[#This Row],[Producció]]*'Introducció criteris'!$G$15)</f>
        <v>0</v>
      </c>
      <c r="H46" s="117">
        <f>Taula389[[#This Row],[Producció]]-Taula389[[#This Row],[Autoconsum instantani]]-Taula389[[#This Row],[Abocament a xarxa sense compensar]]</f>
        <v>2128</v>
      </c>
      <c r="I46" s="117">
        <f>Taula389[[#This Row],[Producció]]*'Introducció criteris'!$I$15</f>
        <v>112</v>
      </c>
      <c r="J46" s="118">
        <f>Taula2[[#This Row],[CONSUM TOTAL]]-Taula389[[#This Row],[Autoconsum instantani]]</f>
        <v>2240</v>
      </c>
    </row>
    <row r="47" spans="1:10">
      <c r="A47" s="166">
        <f>'Introducció consums'!A47</f>
        <v>44</v>
      </c>
      <c r="B47" s="195" t="s">
        <v>66</v>
      </c>
      <c r="C47" t="str">
        <f>'Introducció consums'!C47</f>
        <v>Quadre EP 44</v>
      </c>
      <c r="D47" s="117">
        <f>Taula2[[#This Row],[CONSUM TOTAL]]*'Introducció criteris'!$E$15</f>
        <v>2260</v>
      </c>
      <c r="E47" s="10">
        <f>Taula389[[#This Row],[Producció]]/'Introducció criteris'!$E$21</f>
        <v>1.674074074074074</v>
      </c>
      <c r="F47" s="35">
        <f>+Taula389[[#This Row],[Potència pic]]/'Introducció criteris'!$E$23</f>
        <v>8.3703703703703702</v>
      </c>
      <c r="G47" s="117">
        <f>IF(Taula389[[#This Row],[Tipus subministrament]]="Quadre EP",0,Taula389[[#This Row],[Producció]]*'Introducció criteris'!$G$15)</f>
        <v>0</v>
      </c>
      <c r="H47" s="117">
        <f>Taula389[[#This Row],[Producció]]-Taula389[[#This Row],[Autoconsum instantani]]-Taula389[[#This Row],[Abocament a xarxa sense compensar]]</f>
        <v>2147</v>
      </c>
      <c r="I47" s="117">
        <f>Taula389[[#This Row],[Producció]]*'Introducció criteris'!$I$15</f>
        <v>113</v>
      </c>
      <c r="J47" s="118">
        <f>Taula2[[#This Row],[CONSUM TOTAL]]-Taula389[[#This Row],[Autoconsum instantani]]</f>
        <v>2260</v>
      </c>
    </row>
    <row r="48" spans="1:10">
      <c r="A48" s="166">
        <f>'Introducció consums'!A48</f>
        <v>45</v>
      </c>
      <c r="B48" s="195" t="s">
        <v>66</v>
      </c>
      <c r="C48" t="str">
        <f>'Introducció consums'!C48</f>
        <v>Quadre EP 45</v>
      </c>
      <c r="D48" s="117">
        <f>Taula2[[#This Row],[CONSUM TOTAL]]*'Introducció criteris'!$E$15</f>
        <v>2280</v>
      </c>
      <c r="E48" s="10">
        <f>Taula389[[#This Row],[Producció]]/'Introducció criteris'!$E$21</f>
        <v>1.6888888888888889</v>
      </c>
      <c r="F48" s="35">
        <f>+Taula389[[#This Row],[Potència pic]]/'Introducció criteris'!$E$23</f>
        <v>8.4444444444444446</v>
      </c>
      <c r="G48" s="117">
        <f>IF(Taula389[[#This Row],[Tipus subministrament]]="Quadre EP",0,Taula389[[#This Row],[Producció]]*'Introducció criteris'!$G$15)</f>
        <v>0</v>
      </c>
      <c r="H48" s="117">
        <f>Taula389[[#This Row],[Producció]]-Taula389[[#This Row],[Autoconsum instantani]]-Taula389[[#This Row],[Abocament a xarxa sense compensar]]</f>
        <v>2166</v>
      </c>
      <c r="I48" s="117">
        <f>Taula389[[#This Row],[Producció]]*'Introducció criteris'!$I$15</f>
        <v>114</v>
      </c>
      <c r="J48" s="118">
        <f>Taula2[[#This Row],[CONSUM TOTAL]]-Taula389[[#This Row],[Autoconsum instantani]]</f>
        <v>2280</v>
      </c>
    </row>
    <row r="49" spans="1:10">
      <c r="A49" s="166">
        <f>'Introducció consums'!A49</f>
        <v>46</v>
      </c>
      <c r="B49" s="195" t="s">
        <v>66</v>
      </c>
      <c r="C49" t="str">
        <f>'Introducció consums'!C49</f>
        <v>Quadre EP 46</v>
      </c>
      <c r="D49" s="117">
        <f>Taula2[[#This Row],[CONSUM TOTAL]]*'Introducció criteris'!$E$15</f>
        <v>2300</v>
      </c>
      <c r="E49" s="10">
        <f>Taula389[[#This Row],[Producció]]/'Introducció criteris'!$E$21</f>
        <v>1.7037037037037037</v>
      </c>
      <c r="F49" s="35">
        <f>+Taula389[[#This Row],[Potència pic]]/'Introducció criteris'!$E$23</f>
        <v>8.5185185185185173</v>
      </c>
      <c r="G49" s="117">
        <f>IF(Taula389[[#This Row],[Tipus subministrament]]="Quadre EP",0,Taula389[[#This Row],[Producció]]*'Introducció criteris'!$G$15)</f>
        <v>0</v>
      </c>
      <c r="H49" s="117">
        <f>Taula389[[#This Row],[Producció]]-Taula389[[#This Row],[Autoconsum instantani]]-Taula389[[#This Row],[Abocament a xarxa sense compensar]]</f>
        <v>2185</v>
      </c>
      <c r="I49" s="117">
        <f>Taula389[[#This Row],[Producció]]*'Introducció criteris'!$I$15</f>
        <v>115</v>
      </c>
      <c r="J49" s="118">
        <f>Taula2[[#This Row],[CONSUM TOTAL]]-Taula389[[#This Row],[Autoconsum instantani]]</f>
        <v>2300</v>
      </c>
    </row>
    <row r="50" spans="1:10">
      <c r="A50" s="166">
        <f>'Introducció consums'!A50</f>
        <v>47</v>
      </c>
      <c r="B50" s="195" t="s">
        <v>66</v>
      </c>
      <c r="C50" t="str">
        <f>'Introducció consums'!C50</f>
        <v>Quadre EP 47</v>
      </c>
      <c r="D50" s="117">
        <f>Taula2[[#This Row],[CONSUM TOTAL]]*'Introducció criteris'!$E$15</f>
        <v>2320</v>
      </c>
      <c r="E50" s="10">
        <f>Taula389[[#This Row],[Producció]]/'Introducció criteris'!$E$21</f>
        <v>1.7185185185185186</v>
      </c>
      <c r="F50" s="35">
        <f>+Taula389[[#This Row],[Potència pic]]/'Introducció criteris'!$E$23</f>
        <v>8.5925925925925917</v>
      </c>
      <c r="G50" s="117">
        <f>IF(Taula389[[#This Row],[Tipus subministrament]]="Quadre EP",0,Taula389[[#This Row],[Producció]]*'Introducció criteris'!$G$15)</f>
        <v>0</v>
      </c>
      <c r="H50" s="117">
        <f>Taula389[[#This Row],[Producció]]-Taula389[[#This Row],[Autoconsum instantani]]-Taula389[[#This Row],[Abocament a xarxa sense compensar]]</f>
        <v>2204</v>
      </c>
      <c r="I50" s="117">
        <f>Taula389[[#This Row],[Producció]]*'Introducció criteris'!$I$15</f>
        <v>116</v>
      </c>
      <c r="J50" s="118">
        <f>Taula2[[#This Row],[CONSUM TOTAL]]-Taula389[[#This Row],[Autoconsum instantani]]</f>
        <v>2320</v>
      </c>
    </row>
    <row r="51" spans="1:10">
      <c r="A51" s="166">
        <f>'Introducció consums'!A51</f>
        <v>48</v>
      </c>
      <c r="B51" s="195" t="s">
        <v>66</v>
      </c>
      <c r="C51" t="str">
        <f>'Introducció consums'!C51</f>
        <v>Quadre EP 48</v>
      </c>
      <c r="D51" s="117">
        <f>Taula2[[#This Row],[CONSUM TOTAL]]*'Introducció criteris'!$E$15</f>
        <v>2340</v>
      </c>
      <c r="E51" s="10">
        <f>Taula389[[#This Row],[Producció]]/'Introducció criteris'!$E$21</f>
        <v>1.7333333333333334</v>
      </c>
      <c r="F51" s="35">
        <f>+Taula389[[#This Row],[Potència pic]]/'Introducció criteris'!$E$23</f>
        <v>8.6666666666666661</v>
      </c>
      <c r="G51" s="117">
        <f>IF(Taula389[[#This Row],[Tipus subministrament]]="Quadre EP",0,Taula389[[#This Row],[Producció]]*'Introducció criteris'!$G$15)</f>
        <v>0</v>
      </c>
      <c r="H51" s="117">
        <f>Taula389[[#This Row],[Producció]]-Taula389[[#This Row],[Autoconsum instantani]]-Taula389[[#This Row],[Abocament a xarxa sense compensar]]</f>
        <v>2223</v>
      </c>
      <c r="I51" s="117">
        <f>Taula389[[#This Row],[Producció]]*'Introducció criteris'!$I$15</f>
        <v>117</v>
      </c>
      <c r="J51" s="118">
        <f>Taula2[[#This Row],[CONSUM TOTAL]]-Taula389[[#This Row],[Autoconsum instantani]]</f>
        <v>2340</v>
      </c>
    </row>
    <row r="52" spans="1:10">
      <c r="A52" s="166">
        <f>'Introducció consums'!A52</f>
        <v>49</v>
      </c>
      <c r="B52" s="195" t="s">
        <v>66</v>
      </c>
      <c r="C52" t="str">
        <f>'Introducció consums'!C52</f>
        <v>Quadre EP 49</v>
      </c>
      <c r="D52" s="104">
        <f>Taula2[[#This Row],[CONSUM TOTAL]]*'Introducció criteris'!$E$15</f>
        <v>2360</v>
      </c>
      <c r="E52" s="119">
        <f>Taula389[[#This Row],[Producció]]/'Introducció criteris'!$E$21</f>
        <v>1.7481481481481482</v>
      </c>
      <c r="F52" s="120">
        <f>+Taula389[[#This Row],[Potència pic]]/'Introducció criteris'!$E$23</f>
        <v>8.7407407407407405</v>
      </c>
      <c r="G52" s="9">
        <f>IF(Taula389[[#This Row],[Tipus subministrament]]="Quadre EP",0,Taula389[[#This Row],[Producció]]*'Introducció criteris'!$G$15)</f>
        <v>0</v>
      </c>
      <c r="H52" s="9">
        <f>Taula389[[#This Row],[Producció]]-Taula389[[#This Row],[Autoconsum instantani]]-Taula389[[#This Row],[Abocament a xarxa sense compensar]]</f>
        <v>2242</v>
      </c>
      <c r="I52" s="9">
        <f>Taula389[[#This Row],[Producció]]*'Introducció criteris'!$I$15</f>
        <v>118</v>
      </c>
      <c r="J52" s="11">
        <f>Taula2[[#This Row],[CONSUM TOTAL]]-Taula389[[#This Row],[Autoconsum instantani]]</f>
        <v>2360</v>
      </c>
    </row>
    <row r="53" spans="1:10" ht="15" thickBot="1">
      <c r="A53" s="167">
        <f>'Introducció consums'!A53</f>
        <v>50</v>
      </c>
      <c r="B53" s="192" t="s">
        <v>66</v>
      </c>
      <c r="C53" s="152" t="str">
        <f>'Introducció consums'!C53</f>
        <v>Quadre EP 50</v>
      </c>
      <c r="D53" s="153">
        <f>Taula2[[#This Row],[CONSUM TOTAL]]*'Introducció criteris'!$E$15</f>
        <v>2380</v>
      </c>
      <c r="E53" s="23">
        <f>Taula389[[#This Row],[Producció]]/'Introducció criteris'!$E$21</f>
        <v>1.7629629629629631</v>
      </c>
      <c r="F53" s="154">
        <f>+Taula389[[#This Row],[Potència pic]]/'Introducció criteris'!$E$23</f>
        <v>8.8148148148148149</v>
      </c>
      <c r="G53" s="153">
        <f>IF(Taula389[[#This Row],[Tipus subministrament]]="Quadre EP",0,Taula389[[#This Row],[Producció]]*'Introducció criteris'!$G$15)</f>
        <v>0</v>
      </c>
      <c r="H53" s="153">
        <f>Taula389[[#This Row],[Producció]]-Taula389[[#This Row],[Autoconsum instantani]]-Taula389[[#This Row],[Abocament a xarxa sense compensar]]</f>
        <v>2261</v>
      </c>
      <c r="I53" s="153">
        <f>Taula389[[#This Row],[Producció]]*'Introducció criteris'!$I$15</f>
        <v>119</v>
      </c>
      <c r="J53" s="155">
        <f>Taula2[[#This Row],[CONSUM TOTAL]]-Taula389[[#This Row],[Autoconsum instantani]]</f>
        <v>2380</v>
      </c>
    </row>
    <row r="54" spans="1:10" ht="9" customHeight="1" thickBot="1">
      <c r="D54" s="139"/>
      <c r="E54" s="140"/>
      <c r="F54" s="141"/>
      <c r="G54" s="139"/>
      <c r="H54" s="139"/>
      <c r="I54" s="139"/>
      <c r="J54" s="139"/>
    </row>
    <row r="55" spans="1:10" ht="28.5" customHeight="1" thickBot="1">
      <c r="A55" s="142"/>
      <c r="B55" s="193"/>
      <c r="C55" s="143" t="s">
        <v>158</v>
      </c>
      <c r="D55" s="144">
        <f>SUM(D4:D53)</f>
        <v>111900</v>
      </c>
      <c r="E55" s="145">
        <f t="shared" ref="E55:J55" si="0">SUM(E4:E53)</f>
        <v>82.888888888888886</v>
      </c>
      <c r="F55" s="146">
        <f t="shared" si="0"/>
        <v>414.44444444444451</v>
      </c>
      <c r="G55" s="144">
        <f t="shared" si="0"/>
        <v>20250</v>
      </c>
      <c r="H55" s="144">
        <f t="shared" si="0"/>
        <v>86055</v>
      </c>
      <c r="I55" s="144">
        <f t="shared" si="0"/>
        <v>5595</v>
      </c>
      <c r="J55" s="147">
        <f t="shared" si="0"/>
        <v>91650</v>
      </c>
    </row>
    <row r="56" spans="1:10">
      <c r="D56" s="139"/>
      <c r="E56" s="140"/>
      <c r="F56" s="141"/>
      <c r="G56" s="139"/>
      <c r="H56" s="139"/>
      <c r="I56" s="139"/>
      <c r="J56" s="139"/>
    </row>
    <row r="57" spans="1:10">
      <c r="D57" s="139"/>
      <c r="E57" s="140"/>
      <c r="F57" s="141"/>
      <c r="G57" s="139"/>
      <c r="H57" s="139"/>
      <c r="I57" s="139"/>
      <c r="J57" s="139"/>
    </row>
    <row r="58" spans="1:10">
      <c r="D58" s="139"/>
      <c r="E58" s="140"/>
      <c r="F58" s="141"/>
      <c r="G58" s="139"/>
      <c r="H58" s="139"/>
      <c r="I58" s="139"/>
      <c r="J58" s="139"/>
    </row>
    <row r="59" spans="1:10">
      <c r="D59" s="139"/>
      <c r="E59" s="140"/>
      <c r="F59" s="141"/>
      <c r="G59" s="139"/>
      <c r="H59" s="139"/>
      <c r="I59" s="139"/>
      <c r="J59" s="139"/>
    </row>
    <row r="60" spans="1:10">
      <c r="D60" s="139"/>
      <c r="E60" s="140"/>
      <c r="F60" s="141"/>
      <c r="G60" s="139"/>
      <c r="H60" s="139"/>
      <c r="I60" s="139"/>
      <c r="J60" s="139"/>
    </row>
    <row r="61" spans="1:10">
      <c r="D61" s="139"/>
      <c r="E61" s="140"/>
      <c r="F61" s="141"/>
      <c r="G61" s="139"/>
      <c r="H61" s="139"/>
      <c r="I61" s="139"/>
      <c r="J61" s="139"/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44934-6B9B-4709-99D3-490484C8A75F}">
  <sheetPr>
    <tabColor theme="8" tint="0.39997558519241921"/>
  </sheetPr>
  <dimension ref="A1:AD61"/>
  <sheetViews>
    <sheetView zoomScale="85" zoomScaleNormal="85" workbookViewId="0"/>
  </sheetViews>
  <sheetFormatPr defaultColWidth="8.7109375" defaultRowHeight="14.45"/>
  <cols>
    <col min="1" max="1" width="8.7109375" style="135"/>
    <col min="2" max="2" width="19.42578125" style="135" customWidth="1"/>
    <col min="3" max="3" width="23.7109375" style="135" customWidth="1"/>
    <col min="4" max="4" width="16.28515625" style="135" customWidth="1"/>
    <col min="5" max="5" width="15.7109375" style="135" customWidth="1"/>
    <col min="6" max="6" width="14.28515625" style="135" customWidth="1"/>
    <col min="7" max="7" width="28.28515625" style="135" customWidth="1"/>
    <col min="8" max="8" width="19.28515625" style="135" customWidth="1"/>
    <col min="9" max="9" width="25.28515625" style="135" customWidth="1"/>
    <col min="10" max="10" width="22.28515625" style="135" customWidth="1"/>
    <col min="11" max="16384" width="8.7109375" style="135"/>
  </cols>
  <sheetData>
    <row r="1" spans="1:30" ht="25.9">
      <c r="A1" s="111" t="s">
        <v>149</v>
      </c>
      <c r="B1" s="111"/>
      <c r="C1" s="111"/>
      <c r="D1" s="112"/>
      <c r="E1" s="113"/>
      <c r="F1" s="113"/>
      <c r="G1" s="113"/>
      <c r="H1" s="113"/>
      <c r="I1" s="113"/>
      <c r="J1" s="11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4"/>
      <c r="X1" s="134"/>
      <c r="Y1" s="134"/>
      <c r="Z1" s="134"/>
      <c r="AA1" s="134"/>
      <c r="AB1" s="134"/>
      <c r="AC1" s="134"/>
      <c r="AD1" s="134"/>
    </row>
    <row r="2" spans="1:30" ht="23.45">
      <c r="A2" s="115" t="str">
        <f>CONCATENATE('Introducció criteris'!$C$17,": produint el ",'Introducció criteris'!E17*100,"% del consum i autoconsumint un ",'Introducció criteris'!$G$17*100,"% de la producció")</f>
        <v>Escenari 4: produint el 150% del consum i autoconsumint un 35% de la producció</v>
      </c>
      <c r="B2" s="115"/>
      <c r="C2" s="115"/>
      <c r="D2" s="115"/>
      <c r="E2" s="115"/>
      <c r="F2" s="115"/>
      <c r="G2" s="116"/>
      <c r="H2" s="116"/>
      <c r="I2" s="116"/>
      <c r="J2" s="115"/>
      <c r="K2" s="136"/>
      <c r="L2" s="137"/>
      <c r="M2" s="137"/>
      <c r="N2" s="137"/>
      <c r="O2" s="137"/>
      <c r="P2" s="138"/>
      <c r="Q2" s="138"/>
      <c r="R2" s="137"/>
      <c r="S2" s="137"/>
      <c r="T2" s="137"/>
      <c r="U2" s="137"/>
      <c r="V2" s="137"/>
      <c r="W2" s="134"/>
      <c r="X2" s="134"/>
      <c r="Y2" s="134"/>
      <c r="Z2" s="134"/>
      <c r="AA2" s="134"/>
      <c r="AB2" s="134"/>
      <c r="AC2" s="134"/>
      <c r="AD2" s="134"/>
    </row>
    <row r="3" spans="1:30" ht="33" customHeight="1" thickBot="1">
      <c r="A3" s="159" t="s">
        <v>150</v>
      </c>
      <c r="B3" s="190" t="s">
        <v>18</v>
      </c>
      <c r="C3" s="160" t="s">
        <v>19</v>
      </c>
      <c r="D3" s="161" t="s">
        <v>151</v>
      </c>
      <c r="E3" s="162" t="s">
        <v>152</v>
      </c>
      <c r="F3" s="162" t="s">
        <v>153</v>
      </c>
      <c r="G3" s="163" t="s">
        <v>154</v>
      </c>
      <c r="H3" s="164" t="s">
        <v>155</v>
      </c>
      <c r="I3" s="162" t="s">
        <v>156</v>
      </c>
      <c r="J3" s="163" t="s">
        <v>157</v>
      </c>
    </row>
    <row r="4" spans="1:30">
      <c r="A4" s="165">
        <f>'Introducció consums'!A4</f>
        <v>1</v>
      </c>
      <c r="B4" s="191" t="s">
        <v>33</v>
      </c>
      <c r="C4" s="131" t="str">
        <f>'Introducció consums'!C4</f>
        <v>Equipament 1</v>
      </c>
      <c r="D4" s="148">
        <f>Taula2[[#This Row],[CONSUM TOTAL]]*'Introducció criteris'!$E$17</f>
        <v>3000</v>
      </c>
      <c r="E4" s="149">
        <f>Taula38910[[#This Row],[Producció]]/'Introducció criteris'!$E$21</f>
        <v>2.2222222222222223</v>
      </c>
      <c r="F4" s="150">
        <f>+Taula38910[[#This Row],[Potència pic]]/'Introducció criteris'!$E$23</f>
        <v>11.111111111111111</v>
      </c>
      <c r="G4" s="148">
        <f>IF(Taula38910[[#This Row],[Tipus subministrament]]="Quadre EP",0,Taula38910[[#This Row],[Producció]]*'Introducció criteris'!$G$17)</f>
        <v>1050</v>
      </c>
      <c r="H4" s="148">
        <f>Taula38910[[#This Row],[Producció]]-Taula38910[[#This Row],[Autoconsum instantani]]-Taula38910[[#This Row],[Abocament a xarxa sense compensar]]</f>
        <v>1200</v>
      </c>
      <c r="I4" s="148">
        <f>Taula38910[[#This Row],[Producció]]*'Introducció criteris'!$I$17</f>
        <v>750</v>
      </c>
      <c r="J4" s="151">
        <f>Taula2[[#This Row],[CONSUM TOTAL]]-Taula38910[[#This Row],[Autoconsum instantani]]</f>
        <v>950</v>
      </c>
    </row>
    <row r="5" spans="1:30">
      <c r="A5" s="166">
        <f>'Introducció consums'!A5</f>
        <v>2</v>
      </c>
      <c r="B5" s="195" t="s">
        <v>33</v>
      </c>
      <c r="C5" t="str">
        <f>'Introducció consums'!C5</f>
        <v>Equipament 2</v>
      </c>
      <c r="D5" s="117">
        <f>Taula2[[#This Row],[CONSUM TOTAL]]*'Introducció criteris'!$E$17</f>
        <v>3150</v>
      </c>
      <c r="E5" s="10">
        <f>Taula38910[[#This Row],[Producció]]/'Introducció criteris'!$E$21</f>
        <v>2.3333333333333335</v>
      </c>
      <c r="F5" s="35">
        <f>+Taula38910[[#This Row],[Potència pic]]/'Introducció criteris'!$E$23</f>
        <v>11.666666666666666</v>
      </c>
      <c r="G5" s="117">
        <f>IF(Taula38910[[#This Row],[Tipus subministrament]]="Quadre EP",0,Taula38910[[#This Row],[Producció]]*'Introducció criteris'!$G$17)</f>
        <v>1102.5</v>
      </c>
      <c r="H5" s="117">
        <f>Taula38910[[#This Row],[Producció]]-Taula38910[[#This Row],[Autoconsum instantani]]-Taula38910[[#This Row],[Abocament a xarxa sense compensar]]</f>
        <v>1260</v>
      </c>
      <c r="I5" s="117">
        <f>Taula38910[[#This Row],[Producció]]*'Introducció criteris'!$I$17</f>
        <v>787.5</v>
      </c>
      <c r="J5" s="118">
        <f>Taula2[[#This Row],[CONSUM TOTAL]]-Taula38910[[#This Row],[Autoconsum instantani]]</f>
        <v>997.5</v>
      </c>
    </row>
    <row r="6" spans="1:30">
      <c r="A6" s="166">
        <f>'Introducció consums'!A6</f>
        <v>3</v>
      </c>
      <c r="B6" s="195" t="s">
        <v>33</v>
      </c>
      <c r="C6" t="str">
        <f>'Introducció consums'!C6</f>
        <v>Equipament 3</v>
      </c>
      <c r="D6" s="117">
        <f>Taula2[[#This Row],[CONSUM TOTAL]]*'Introducció criteris'!$E$17</f>
        <v>3300</v>
      </c>
      <c r="E6" s="10">
        <f>Taula38910[[#This Row],[Producció]]/'Introducció criteris'!$E$21</f>
        <v>2.4444444444444446</v>
      </c>
      <c r="F6" s="35">
        <f>+Taula38910[[#This Row],[Potència pic]]/'Introducció criteris'!$E$23</f>
        <v>12.222222222222223</v>
      </c>
      <c r="G6" s="117">
        <f>IF(Taula38910[[#This Row],[Tipus subministrament]]="Quadre EP",0,Taula38910[[#This Row],[Producció]]*'Introducció criteris'!$G$17)</f>
        <v>1155</v>
      </c>
      <c r="H6" s="117">
        <f>Taula38910[[#This Row],[Producció]]-Taula38910[[#This Row],[Autoconsum instantani]]-Taula38910[[#This Row],[Abocament a xarxa sense compensar]]</f>
        <v>1320</v>
      </c>
      <c r="I6" s="117">
        <f>Taula38910[[#This Row],[Producció]]*'Introducció criteris'!$I$17</f>
        <v>825</v>
      </c>
      <c r="J6" s="118">
        <f>Taula2[[#This Row],[CONSUM TOTAL]]-Taula38910[[#This Row],[Autoconsum instantani]]</f>
        <v>1045</v>
      </c>
    </row>
    <row r="7" spans="1:30">
      <c r="A7" s="166">
        <f>'Introducció consums'!A7</f>
        <v>4</v>
      </c>
      <c r="B7" s="195" t="s">
        <v>33</v>
      </c>
      <c r="C7" t="str">
        <f>'Introducció consums'!C7</f>
        <v>Equipament 4</v>
      </c>
      <c r="D7" s="117">
        <f>Taula2[[#This Row],[CONSUM TOTAL]]*'Introducció criteris'!$E$17</f>
        <v>3450</v>
      </c>
      <c r="E7" s="10">
        <f>Taula38910[[#This Row],[Producció]]/'Introducció criteris'!$E$21</f>
        <v>2.5555555555555554</v>
      </c>
      <c r="F7" s="35">
        <f>+Taula38910[[#This Row],[Potència pic]]/'Introducció criteris'!$E$23</f>
        <v>12.777777777777777</v>
      </c>
      <c r="G7" s="117">
        <f>IF(Taula38910[[#This Row],[Tipus subministrament]]="Quadre EP",0,Taula38910[[#This Row],[Producció]]*'Introducció criteris'!$G$17)</f>
        <v>1207.5</v>
      </c>
      <c r="H7" s="117">
        <f>Taula38910[[#This Row],[Producció]]-Taula38910[[#This Row],[Autoconsum instantani]]-Taula38910[[#This Row],[Abocament a xarxa sense compensar]]</f>
        <v>1380</v>
      </c>
      <c r="I7" s="117">
        <f>Taula38910[[#This Row],[Producció]]*'Introducció criteris'!$I$17</f>
        <v>862.5</v>
      </c>
      <c r="J7" s="118">
        <f>Taula2[[#This Row],[CONSUM TOTAL]]-Taula38910[[#This Row],[Autoconsum instantani]]</f>
        <v>1092.5</v>
      </c>
    </row>
    <row r="8" spans="1:30">
      <c r="A8" s="166">
        <f>'Introducció consums'!A8</f>
        <v>5</v>
      </c>
      <c r="B8" s="195" t="s">
        <v>33</v>
      </c>
      <c r="C8" t="str">
        <f>'Introducció consums'!C8</f>
        <v>Equipament 5</v>
      </c>
      <c r="D8" s="117">
        <f>Taula2[[#This Row],[CONSUM TOTAL]]*'Introducció criteris'!$E$17</f>
        <v>3600</v>
      </c>
      <c r="E8" s="10">
        <f>Taula38910[[#This Row],[Producció]]/'Introducció criteris'!$E$21</f>
        <v>2.6666666666666665</v>
      </c>
      <c r="F8" s="35">
        <f>+Taula38910[[#This Row],[Potència pic]]/'Introducció criteris'!$E$23</f>
        <v>13.333333333333332</v>
      </c>
      <c r="G8" s="117">
        <f>IF(Taula38910[[#This Row],[Tipus subministrament]]="Quadre EP",0,Taula38910[[#This Row],[Producció]]*'Introducció criteris'!$G$17)</f>
        <v>1260</v>
      </c>
      <c r="H8" s="117">
        <f>Taula38910[[#This Row],[Producció]]-Taula38910[[#This Row],[Autoconsum instantani]]-Taula38910[[#This Row],[Abocament a xarxa sense compensar]]</f>
        <v>1440</v>
      </c>
      <c r="I8" s="117">
        <f>Taula38910[[#This Row],[Producció]]*'Introducció criteris'!$I$17</f>
        <v>900</v>
      </c>
      <c r="J8" s="118">
        <f>Taula2[[#This Row],[CONSUM TOTAL]]-Taula38910[[#This Row],[Autoconsum instantani]]</f>
        <v>1140</v>
      </c>
    </row>
    <row r="9" spans="1:30">
      <c r="A9" s="166">
        <f>'Introducció consums'!A9</f>
        <v>6</v>
      </c>
      <c r="B9" s="195" t="s">
        <v>33</v>
      </c>
      <c r="C9" t="str">
        <f>'Introducció consums'!C9</f>
        <v>Equipament 6</v>
      </c>
      <c r="D9" s="117">
        <f>Taula2[[#This Row],[CONSUM TOTAL]]*'Introducció criteris'!$E$17</f>
        <v>3750</v>
      </c>
      <c r="E9" s="10">
        <f>Taula38910[[#This Row],[Producció]]/'Introducció criteris'!$E$21</f>
        <v>2.7777777777777777</v>
      </c>
      <c r="F9" s="35">
        <f>+Taula38910[[#This Row],[Potència pic]]/'Introducció criteris'!$E$23</f>
        <v>13.888888888888888</v>
      </c>
      <c r="G9" s="117">
        <f>IF(Taula38910[[#This Row],[Tipus subministrament]]="Quadre EP",0,Taula38910[[#This Row],[Producció]]*'Introducció criteris'!$G$17)</f>
        <v>1312.5</v>
      </c>
      <c r="H9" s="117">
        <f>Taula38910[[#This Row],[Producció]]-Taula38910[[#This Row],[Autoconsum instantani]]-Taula38910[[#This Row],[Abocament a xarxa sense compensar]]</f>
        <v>1500</v>
      </c>
      <c r="I9" s="117">
        <f>Taula38910[[#This Row],[Producció]]*'Introducció criteris'!$I$17</f>
        <v>937.5</v>
      </c>
      <c r="J9" s="118">
        <f>Taula2[[#This Row],[CONSUM TOTAL]]-Taula38910[[#This Row],[Autoconsum instantani]]</f>
        <v>1187.5</v>
      </c>
    </row>
    <row r="10" spans="1:30">
      <c r="A10" s="166">
        <f>'Introducció consums'!A10</f>
        <v>7</v>
      </c>
      <c r="B10" s="195" t="s">
        <v>33</v>
      </c>
      <c r="C10" t="str">
        <f>'Introducció consums'!C10</f>
        <v>Equipament 7</v>
      </c>
      <c r="D10" s="117">
        <f>Taula2[[#This Row],[CONSUM TOTAL]]*'Introducció criteris'!$E$17</f>
        <v>3900</v>
      </c>
      <c r="E10" s="10">
        <f>Taula38910[[#This Row],[Producció]]/'Introducció criteris'!$E$21</f>
        <v>2.8888888888888888</v>
      </c>
      <c r="F10" s="35">
        <f>+Taula38910[[#This Row],[Potència pic]]/'Introducció criteris'!$E$23</f>
        <v>14.444444444444443</v>
      </c>
      <c r="G10" s="117">
        <f>IF(Taula38910[[#This Row],[Tipus subministrament]]="Quadre EP",0,Taula38910[[#This Row],[Producció]]*'Introducció criteris'!$G$17)</f>
        <v>1365</v>
      </c>
      <c r="H10" s="117">
        <f>Taula38910[[#This Row],[Producció]]-Taula38910[[#This Row],[Autoconsum instantani]]-Taula38910[[#This Row],[Abocament a xarxa sense compensar]]</f>
        <v>1560</v>
      </c>
      <c r="I10" s="117">
        <f>Taula38910[[#This Row],[Producció]]*'Introducció criteris'!$I$17</f>
        <v>975</v>
      </c>
      <c r="J10" s="118">
        <f>Taula2[[#This Row],[CONSUM TOTAL]]-Taula38910[[#This Row],[Autoconsum instantani]]</f>
        <v>1235</v>
      </c>
    </row>
    <row r="11" spans="1:30">
      <c r="A11" s="166">
        <f>'Introducció consums'!A11</f>
        <v>8</v>
      </c>
      <c r="B11" s="195" t="s">
        <v>33</v>
      </c>
      <c r="C11" t="str">
        <f>'Introducció consums'!C11</f>
        <v>Equipament 8</v>
      </c>
      <c r="D11" s="117">
        <f>Taula2[[#This Row],[CONSUM TOTAL]]*'Introducció criteris'!$E$17</f>
        <v>4050</v>
      </c>
      <c r="E11" s="10">
        <f>Taula38910[[#This Row],[Producció]]/'Introducció criteris'!$E$21</f>
        <v>3</v>
      </c>
      <c r="F11" s="35">
        <f>+Taula38910[[#This Row],[Potència pic]]/'Introducció criteris'!$E$23</f>
        <v>15</v>
      </c>
      <c r="G11" s="117">
        <f>IF(Taula38910[[#This Row],[Tipus subministrament]]="Quadre EP",0,Taula38910[[#This Row],[Producció]]*'Introducció criteris'!$G$17)</f>
        <v>1417.5</v>
      </c>
      <c r="H11" s="117">
        <f>Taula38910[[#This Row],[Producció]]-Taula38910[[#This Row],[Autoconsum instantani]]-Taula38910[[#This Row],[Abocament a xarxa sense compensar]]</f>
        <v>1620</v>
      </c>
      <c r="I11" s="117">
        <f>Taula38910[[#This Row],[Producció]]*'Introducció criteris'!$I$17</f>
        <v>1012.5</v>
      </c>
      <c r="J11" s="118">
        <f>Taula2[[#This Row],[CONSUM TOTAL]]-Taula38910[[#This Row],[Autoconsum instantani]]</f>
        <v>1282.5</v>
      </c>
    </row>
    <row r="12" spans="1:30">
      <c r="A12" s="166">
        <f>'Introducció consums'!A12</f>
        <v>9</v>
      </c>
      <c r="B12" s="195" t="s">
        <v>33</v>
      </c>
      <c r="C12" t="str">
        <f>'Introducció consums'!C12</f>
        <v>Equipament 9</v>
      </c>
      <c r="D12" s="117">
        <f>Taula2[[#This Row],[CONSUM TOTAL]]*'Introducció criteris'!$E$17</f>
        <v>4200</v>
      </c>
      <c r="E12" s="10">
        <f>Taula38910[[#This Row],[Producció]]/'Introducció criteris'!$E$21</f>
        <v>3.1111111111111112</v>
      </c>
      <c r="F12" s="35">
        <f>+Taula38910[[#This Row],[Potència pic]]/'Introducció criteris'!$E$23</f>
        <v>15.555555555555555</v>
      </c>
      <c r="G12" s="117">
        <f>IF(Taula38910[[#This Row],[Tipus subministrament]]="Quadre EP",0,Taula38910[[#This Row],[Producció]]*'Introducció criteris'!$G$17)</f>
        <v>1470</v>
      </c>
      <c r="H12" s="117">
        <f>Taula38910[[#This Row],[Producció]]-Taula38910[[#This Row],[Autoconsum instantani]]-Taula38910[[#This Row],[Abocament a xarxa sense compensar]]</f>
        <v>1680</v>
      </c>
      <c r="I12" s="117">
        <f>Taula38910[[#This Row],[Producció]]*'Introducció criteris'!$I$17</f>
        <v>1050</v>
      </c>
      <c r="J12" s="118">
        <f>Taula2[[#This Row],[CONSUM TOTAL]]-Taula38910[[#This Row],[Autoconsum instantani]]</f>
        <v>1330</v>
      </c>
    </row>
    <row r="13" spans="1:30">
      <c r="A13" s="166">
        <f>'Introducció consums'!A13</f>
        <v>10</v>
      </c>
      <c r="B13" s="195" t="s">
        <v>33</v>
      </c>
      <c r="C13" t="str">
        <f>'Introducció consums'!C13</f>
        <v>Equipament 10</v>
      </c>
      <c r="D13" s="117">
        <f>Taula2[[#This Row],[CONSUM TOTAL]]*'Introducció criteris'!$E$17</f>
        <v>4350</v>
      </c>
      <c r="E13" s="10">
        <f>Taula38910[[#This Row],[Producció]]/'Introducció criteris'!$E$21</f>
        <v>3.2222222222222223</v>
      </c>
      <c r="F13" s="35">
        <f>+Taula38910[[#This Row],[Potència pic]]/'Introducció criteris'!$E$23</f>
        <v>16.111111111111111</v>
      </c>
      <c r="G13" s="117">
        <f>IF(Taula38910[[#This Row],[Tipus subministrament]]="Quadre EP",0,Taula38910[[#This Row],[Producció]]*'Introducció criteris'!$G$17)</f>
        <v>1522.5</v>
      </c>
      <c r="H13" s="117">
        <f>Taula38910[[#This Row],[Producció]]-Taula38910[[#This Row],[Autoconsum instantani]]-Taula38910[[#This Row],[Abocament a xarxa sense compensar]]</f>
        <v>1740</v>
      </c>
      <c r="I13" s="117">
        <f>Taula38910[[#This Row],[Producció]]*'Introducció criteris'!$I$17</f>
        <v>1087.5</v>
      </c>
      <c r="J13" s="118">
        <f>Taula2[[#This Row],[CONSUM TOTAL]]-Taula38910[[#This Row],[Autoconsum instantani]]</f>
        <v>1377.5</v>
      </c>
    </row>
    <row r="14" spans="1:30">
      <c r="A14" s="166">
        <f>'Introducció consums'!A14</f>
        <v>11</v>
      </c>
      <c r="B14" s="195" t="s">
        <v>33</v>
      </c>
      <c r="C14" t="str">
        <f>'Introducció consums'!C14</f>
        <v>Equipament 11</v>
      </c>
      <c r="D14" s="117">
        <f>Taula2[[#This Row],[CONSUM TOTAL]]*'Introducció criteris'!$E$17</f>
        <v>4500</v>
      </c>
      <c r="E14" s="10">
        <f>Taula38910[[#This Row],[Producció]]/'Introducció criteris'!$E$21</f>
        <v>3.3333333333333335</v>
      </c>
      <c r="F14" s="35">
        <f>+Taula38910[[#This Row],[Potència pic]]/'Introducció criteris'!$E$23</f>
        <v>16.666666666666668</v>
      </c>
      <c r="G14" s="117">
        <f>IF(Taula38910[[#This Row],[Tipus subministrament]]="Quadre EP",0,Taula38910[[#This Row],[Producció]]*'Introducció criteris'!$G$17)</f>
        <v>1575</v>
      </c>
      <c r="H14" s="117">
        <f>Taula38910[[#This Row],[Producció]]-Taula38910[[#This Row],[Autoconsum instantani]]-Taula38910[[#This Row],[Abocament a xarxa sense compensar]]</f>
        <v>1800</v>
      </c>
      <c r="I14" s="117">
        <f>Taula38910[[#This Row],[Producció]]*'Introducció criteris'!$I$17</f>
        <v>1125</v>
      </c>
      <c r="J14" s="118">
        <f>Taula2[[#This Row],[CONSUM TOTAL]]-Taula38910[[#This Row],[Autoconsum instantani]]</f>
        <v>1425</v>
      </c>
    </row>
    <row r="15" spans="1:30">
      <c r="A15" s="166">
        <f>'Introducció consums'!A15</f>
        <v>12</v>
      </c>
      <c r="B15" s="195" t="s">
        <v>33</v>
      </c>
      <c r="C15" t="str">
        <f>'Introducció consums'!C15</f>
        <v>Equipament 12</v>
      </c>
      <c r="D15" s="117">
        <f>Taula2[[#This Row],[CONSUM TOTAL]]*'Introducció criteris'!$E$17</f>
        <v>4650</v>
      </c>
      <c r="E15" s="10">
        <f>Taula38910[[#This Row],[Producció]]/'Introducció criteris'!$E$21</f>
        <v>3.4444444444444446</v>
      </c>
      <c r="F15" s="35">
        <f>+Taula38910[[#This Row],[Potència pic]]/'Introducció criteris'!$E$23</f>
        <v>17.222222222222221</v>
      </c>
      <c r="G15" s="117">
        <f>IF(Taula38910[[#This Row],[Tipus subministrament]]="Quadre EP",0,Taula38910[[#This Row],[Producció]]*'Introducció criteris'!$G$17)</f>
        <v>1627.5</v>
      </c>
      <c r="H15" s="117">
        <f>Taula38910[[#This Row],[Producció]]-Taula38910[[#This Row],[Autoconsum instantani]]-Taula38910[[#This Row],[Abocament a xarxa sense compensar]]</f>
        <v>1860</v>
      </c>
      <c r="I15" s="117">
        <f>Taula38910[[#This Row],[Producció]]*'Introducció criteris'!$I$17</f>
        <v>1162.5</v>
      </c>
      <c r="J15" s="118">
        <f>Taula2[[#This Row],[CONSUM TOTAL]]-Taula38910[[#This Row],[Autoconsum instantani]]</f>
        <v>1472.5</v>
      </c>
    </row>
    <row r="16" spans="1:30">
      <c r="A16" s="166">
        <f>'Introducció consums'!A16</f>
        <v>13</v>
      </c>
      <c r="B16" s="195" t="s">
        <v>33</v>
      </c>
      <c r="C16" t="str">
        <f>'Introducció consums'!C16</f>
        <v>Equipament 13</v>
      </c>
      <c r="D16" s="117">
        <f>Taula2[[#This Row],[CONSUM TOTAL]]*'Introducció criteris'!$E$17</f>
        <v>4800</v>
      </c>
      <c r="E16" s="10">
        <f>Taula38910[[#This Row],[Producció]]/'Introducció criteris'!$E$21</f>
        <v>3.5555555555555554</v>
      </c>
      <c r="F16" s="35">
        <f>+Taula38910[[#This Row],[Potència pic]]/'Introducció criteris'!$E$23</f>
        <v>17.777777777777775</v>
      </c>
      <c r="G16" s="117">
        <f>IF(Taula38910[[#This Row],[Tipus subministrament]]="Quadre EP",0,Taula38910[[#This Row],[Producció]]*'Introducció criteris'!$G$17)</f>
        <v>1680</v>
      </c>
      <c r="H16" s="117">
        <f>Taula38910[[#This Row],[Producció]]-Taula38910[[#This Row],[Autoconsum instantani]]-Taula38910[[#This Row],[Abocament a xarxa sense compensar]]</f>
        <v>1920</v>
      </c>
      <c r="I16" s="117">
        <f>Taula38910[[#This Row],[Producció]]*'Introducció criteris'!$I$17</f>
        <v>1200</v>
      </c>
      <c r="J16" s="118">
        <f>Taula2[[#This Row],[CONSUM TOTAL]]-Taula38910[[#This Row],[Autoconsum instantani]]</f>
        <v>1520</v>
      </c>
    </row>
    <row r="17" spans="1:10">
      <c r="A17" s="166">
        <f>'Introducció consums'!A17</f>
        <v>14</v>
      </c>
      <c r="B17" s="195" t="s">
        <v>33</v>
      </c>
      <c r="C17" t="str">
        <f>'Introducció consums'!C17</f>
        <v>Equipament 14</v>
      </c>
      <c r="D17" s="117">
        <f>Taula2[[#This Row],[CONSUM TOTAL]]*'Introducció criteris'!$E$17</f>
        <v>4950</v>
      </c>
      <c r="E17" s="10">
        <f>Taula38910[[#This Row],[Producció]]/'Introducció criteris'!$E$21</f>
        <v>3.6666666666666665</v>
      </c>
      <c r="F17" s="35">
        <f>+Taula38910[[#This Row],[Potència pic]]/'Introducció criteris'!$E$23</f>
        <v>18.333333333333332</v>
      </c>
      <c r="G17" s="117">
        <f>IF(Taula38910[[#This Row],[Tipus subministrament]]="Quadre EP",0,Taula38910[[#This Row],[Producció]]*'Introducció criteris'!$G$17)</f>
        <v>1732.5</v>
      </c>
      <c r="H17" s="117">
        <f>Taula38910[[#This Row],[Producció]]-Taula38910[[#This Row],[Autoconsum instantani]]-Taula38910[[#This Row],[Abocament a xarxa sense compensar]]</f>
        <v>1980</v>
      </c>
      <c r="I17" s="117">
        <f>Taula38910[[#This Row],[Producció]]*'Introducció criteris'!$I$17</f>
        <v>1237.5</v>
      </c>
      <c r="J17" s="118">
        <f>Taula2[[#This Row],[CONSUM TOTAL]]-Taula38910[[#This Row],[Autoconsum instantani]]</f>
        <v>1567.5</v>
      </c>
    </row>
    <row r="18" spans="1:10">
      <c r="A18" s="166">
        <f>'Introducció consums'!A18</f>
        <v>15</v>
      </c>
      <c r="B18" s="195" t="s">
        <v>33</v>
      </c>
      <c r="C18" t="str">
        <f>'Introducció consums'!C18</f>
        <v>Equipament 15</v>
      </c>
      <c r="D18" s="117">
        <f>Taula2[[#This Row],[CONSUM TOTAL]]*'Introducció criteris'!$E$17</f>
        <v>5100</v>
      </c>
      <c r="E18" s="10">
        <f>Taula38910[[#This Row],[Producció]]/'Introducció criteris'!$E$21</f>
        <v>3.7777777777777777</v>
      </c>
      <c r="F18" s="35">
        <f>+Taula38910[[#This Row],[Potència pic]]/'Introducció criteris'!$E$23</f>
        <v>18.888888888888886</v>
      </c>
      <c r="G18" s="117">
        <f>IF(Taula38910[[#This Row],[Tipus subministrament]]="Quadre EP",0,Taula38910[[#This Row],[Producció]]*'Introducció criteris'!$G$17)</f>
        <v>1785</v>
      </c>
      <c r="H18" s="117">
        <f>Taula38910[[#This Row],[Producció]]-Taula38910[[#This Row],[Autoconsum instantani]]-Taula38910[[#This Row],[Abocament a xarxa sense compensar]]</f>
        <v>2040</v>
      </c>
      <c r="I18" s="117">
        <f>Taula38910[[#This Row],[Producció]]*'Introducció criteris'!$I$17</f>
        <v>1275</v>
      </c>
      <c r="J18" s="118">
        <f>Taula2[[#This Row],[CONSUM TOTAL]]-Taula38910[[#This Row],[Autoconsum instantani]]</f>
        <v>1615</v>
      </c>
    </row>
    <row r="19" spans="1:10">
      <c r="A19" s="166">
        <f>'Introducció consums'!A19</f>
        <v>16</v>
      </c>
      <c r="B19" s="195" t="s">
        <v>66</v>
      </c>
      <c r="C19" t="str">
        <f>'Introducció consums'!C19</f>
        <v>Quadre EP 16</v>
      </c>
      <c r="D19" s="117">
        <f>Taula2[[#This Row],[CONSUM TOTAL]]*'Introducció criteris'!$E$17</f>
        <v>2550</v>
      </c>
      <c r="E19" s="10">
        <f>Taula38910[[#This Row],[Producció]]/'Introducció criteris'!$E$21</f>
        <v>1.8888888888888888</v>
      </c>
      <c r="F19" s="35">
        <f>+Taula38910[[#This Row],[Potència pic]]/'Introducció criteris'!$E$23</f>
        <v>9.4444444444444429</v>
      </c>
      <c r="G19" s="117">
        <f>IF(Taula38910[[#This Row],[Tipus subministrament]]="Quadre EP",0,Taula38910[[#This Row],[Producció]]*'Introducció criteris'!$G$17)</f>
        <v>0</v>
      </c>
      <c r="H19" s="117">
        <f>Taula38910[[#This Row],[Producció]]-Taula38910[[#This Row],[Autoconsum instantani]]-Taula38910[[#This Row],[Abocament a xarxa sense compensar]]</f>
        <v>1912.5</v>
      </c>
      <c r="I19" s="117">
        <f>Taula38910[[#This Row],[Producció]]*'Introducció criteris'!$I$17</f>
        <v>637.5</v>
      </c>
      <c r="J19" s="118">
        <f>Taula2[[#This Row],[CONSUM TOTAL]]-Taula38910[[#This Row],[Autoconsum instantani]]</f>
        <v>1700</v>
      </c>
    </row>
    <row r="20" spans="1:10">
      <c r="A20" s="166">
        <f>'Introducció consums'!A20</f>
        <v>17</v>
      </c>
      <c r="B20" s="195" t="s">
        <v>66</v>
      </c>
      <c r="C20" t="str">
        <f>'Introducció consums'!C20</f>
        <v>Quadre EP 17</v>
      </c>
      <c r="D20" s="117">
        <f>Taula2[[#This Row],[CONSUM TOTAL]]*'Introducció criteris'!$E$17</f>
        <v>2580</v>
      </c>
      <c r="E20" s="10">
        <f>Taula38910[[#This Row],[Producció]]/'Introducció criteris'!$E$21</f>
        <v>1.9111111111111112</v>
      </c>
      <c r="F20" s="35">
        <f>+Taula38910[[#This Row],[Potència pic]]/'Introducció criteris'!$E$23</f>
        <v>9.5555555555555554</v>
      </c>
      <c r="G20" s="117">
        <f>IF(Taula38910[[#This Row],[Tipus subministrament]]="Quadre EP",0,Taula38910[[#This Row],[Producció]]*'Introducció criteris'!$G$17)</f>
        <v>0</v>
      </c>
      <c r="H20" s="117">
        <f>Taula38910[[#This Row],[Producció]]-Taula38910[[#This Row],[Autoconsum instantani]]-Taula38910[[#This Row],[Abocament a xarxa sense compensar]]</f>
        <v>1935</v>
      </c>
      <c r="I20" s="117">
        <f>Taula38910[[#This Row],[Producció]]*'Introducció criteris'!$I$17</f>
        <v>645</v>
      </c>
      <c r="J20" s="118">
        <f>Taula2[[#This Row],[CONSUM TOTAL]]-Taula38910[[#This Row],[Autoconsum instantani]]</f>
        <v>1720</v>
      </c>
    </row>
    <row r="21" spans="1:10">
      <c r="A21" s="166">
        <f>'Introducció consums'!A21</f>
        <v>18</v>
      </c>
      <c r="B21" s="195" t="s">
        <v>66</v>
      </c>
      <c r="C21" t="str">
        <f>'Introducció consums'!C21</f>
        <v>Quadre EP 18</v>
      </c>
      <c r="D21" s="117">
        <f>Taula2[[#This Row],[CONSUM TOTAL]]*'Introducció criteris'!$E$17</f>
        <v>2610</v>
      </c>
      <c r="E21" s="10">
        <f>Taula38910[[#This Row],[Producció]]/'Introducció criteris'!$E$21</f>
        <v>1.9333333333333333</v>
      </c>
      <c r="F21" s="35">
        <f>+Taula38910[[#This Row],[Potència pic]]/'Introducció criteris'!$E$23</f>
        <v>9.6666666666666661</v>
      </c>
      <c r="G21" s="117">
        <f>IF(Taula38910[[#This Row],[Tipus subministrament]]="Quadre EP",0,Taula38910[[#This Row],[Producció]]*'Introducció criteris'!$G$17)</f>
        <v>0</v>
      </c>
      <c r="H21" s="117">
        <f>Taula38910[[#This Row],[Producció]]-Taula38910[[#This Row],[Autoconsum instantani]]-Taula38910[[#This Row],[Abocament a xarxa sense compensar]]</f>
        <v>1957.5</v>
      </c>
      <c r="I21" s="117">
        <f>Taula38910[[#This Row],[Producció]]*'Introducció criteris'!$I$17</f>
        <v>652.5</v>
      </c>
      <c r="J21" s="118">
        <f>Taula2[[#This Row],[CONSUM TOTAL]]-Taula38910[[#This Row],[Autoconsum instantani]]</f>
        <v>1740</v>
      </c>
    </row>
    <row r="22" spans="1:10">
      <c r="A22" s="166">
        <f>'Introducció consums'!A22</f>
        <v>19</v>
      </c>
      <c r="B22" s="195" t="s">
        <v>66</v>
      </c>
      <c r="C22" t="str">
        <f>'Introducció consums'!C22</f>
        <v>Quadre EP 19</v>
      </c>
      <c r="D22" s="117">
        <f>Taula2[[#This Row],[CONSUM TOTAL]]*'Introducció criteris'!$E$17</f>
        <v>2640</v>
      </c>
      <c r="E22" s="10">
        <f>Taula38910[[#This Row],[Producció]]/'Introducció criteris'!$E$21</f>
        <v>1.9555555555555555</v>
      </c>
      <c r="F22" s="35">
        <f>+Taula38910[[#This Row],[Potència pic]]/'Introducció criteris'!$E$23</f>
        <v>9.7777777777777768</v>
      </c>
      <c r="G22" s="117">
        <f>IF(Taula38910[[#This Row],[Tipus subministrament]]="Quadre EP",0,Taula38910[[#This Row],[Producció]]*'Introducció criteris'!$G$17)</f>
        <v>0</v>
      </c>
      <c r="H22" s="117">
        <f>Taula38910[[#This Row],[Producció]]-Taula38910[[#This Row],[Autoconsum instantani]]-Taula38910[[#This Row],[Abocament a xarxa sense compensar]]</f>
        <v>1980</v>
      </c>
      <c r="I22" s="117">
        <f>Taula38910[[#This Row],[Producció]]*'Introducció criteris'!$I$17</f>
        <v>660</v>
      </c>
      <c r="J22" s="118">
        <f>Taula2[[#This Row],[CONSUM TOTAL]]-Taula38910[[#This Row],[Autoconsum instantani]]</f>
        <v>1760</v>
      </c>
    </row>
    <row r="23" spans="1:10">
      <c r="A23" s="166">
        <f>'Introducció consums'!A23</f>
        <v>20</v>
      </c>
      <c r="B23" s="195" t="s">
        <v>66</v>
      </c>
      <c r="C23" t="str">
        <f>'Introducció consums'!C23</f>
        <v>Quadre EP 20</v>
      </c>
      <c r="D23" s="117">
        <f>Taula2[[#This Row],[CONSUM TOTAL]]*'Introducció criteris'!$E$17</f>
        <v>2670</v>
      </c>
      <c r="E23" s="10">
        <f>Taula38910[[#This Row],[Producció]]/'Introducció criteris'!$E$21</f>
        <v>1.9777777777777779</v>
      </c>
      <c r="F23" s="35">
        <f>+Taula38910[[#This Row],[Potència pic]]/'Introducció criteris'!$E$23</f>
        <v>9.8888888888888893</v>
      </c>
      <c r="G23" s="117">
        <f>IF(Taula38910[[#This Row],[Tipus subministrament]]="Quadre EP",0,Taula38910[[#This Row],[Producció]]*'Introducció criteris'!$G$17)</f>
        <v>0</v>
      </c>
      <c r="H23" s="117">
        <f>Taula38910[[#This Row],[Producció]]-Taula38910[[#This Row],[Autoconsum instantani]]-Taula38910[[#This Row],[Abocament a xarxa sense compensar]]</f>
        <v>2002.5</v>
      </c>
      <c r="I23" s="117">
        <f>Taula38910[[#This Row],[Producció]]*'Introducció criteris'!$I$17</f>
        <v>667.5</v>
      </c>
      <c r="J23" s="118">
        <f>Taula2[[#This Row],[CONSUM TOTAL]]-Taula38910[[#This Row],[Autoconsum instantani]]</f>
        <v>1780</v>
      </c>
    </row>
    <row r="24" spans="1:10">
      <c r="A24" s="166">
        <f>'Introducció consums'!A24</f>
        <v>21</v>
      </c>
      <c r="B24" s="195" t="s">
        <v>66</v>
      </c>
      <c r="C24" t="str">
        <f>'Introducció consums'!C24</f>
        <v>Quadre EP 21</v>
      </c>
      <c r="D24" s="117">
        <f>Taula2[[#This Row],[CONSUM TOTAL]]*'Introducció criteris'!$E$17</f>
        <v>2700</v>
      </c>
      <c r="E24" s="10">
        <f>Taula38910[[#This Row],[Producció]]/'Introducció criteris'!$E$21</f>
        <v>2</v>
      </c>
      <c r="F24" s="35">
        <f>+Taula38910[[#This Row],[Potència pic]]/'Introducció criteris'!$E$23</f>
        <v>10</v>
      </c>
      <c r="G24" s="117">
        <f>IF(Taula38910[[#This Row],[Tipus subministrament]]="Quadre EP",0,Taula38910[[#This Row],[Producció]]*'Introducció criteris'!$G$17)</f>
        <v>0</v>
      </c>
      <c r="H24" s="117">
        <f>Taula38910[[#This Row],[Producció]]-Taula38910[[#This Row],[Autoconsum instantani]]-Taula38910[[#This Row],[Abocament a xarxa sense compensar]]</f>
        <v>2025</v>
      </c>
      <c r="I24" s="117">
        <f>Taula38910[[#This Row],[Producció]]*'Introducció criteris'!$I$17</f>
        <v>675</v>
      </c>
      <c r="J24" s="118">
        <f>Taula2[[#This Row],[CONSUM TOTAL]]-Taula38910[[#This Row],[Autoconsum instantani]]</f>
        <v>1800</v>
      </c>
    </row>
    <row r="25" spans="1:10">
      <c r="A25" s="166">
        <f>'Introducció consums'!A25</f>
        <v>22</v>
      </c>
      <c r="B25" s="195" t="s">
        <v>66</v>
      </c>
      <c r="C25" t="str">
        <f>'Introducció consums'!C25</f>
        <v>Quadre EP 22</v>
      </c>
      <c r="D25" s="117">
        <f>Taula2[[#This Row],[CONSUM TOTAL]]*'Introducció criteris'!$E$17</f>
        <v>2730</v>
      </c>
      <c r="E25" s="10">
        <f>Taula38910[[#This Row],[Producció]]/'Introducció criteris'!$E$21</f>
        <v>2.0222222222222221</v>
      </c>
      <c r="F25" s="35">
        <f>+Taula38910[[#This Row],[Potència pic]]/'Introducció criteris'!$E$23</f>
        <v>10.111111111111111</v>
      </c>
      <c r="G25" s="117">
        <f>IF(Taula38910[[#This Row],[Tipus subministrament]]="Quadre EP",0,Taula38910[[#This Row],[Producció]]*'Introducció criteris'!$G$17)</f>
        <v>0</v>
      </c>
      <c r="H25" s="117">
        <f>Taula38910[[#This Row],[Producció]]-Taula38910[[#This Row],[Autoconsum instantani]]-Taula38910[[#This Row],[Abocament a xarxa sense compensar]]</f>
        <v>2047.5</v>
      </c>
      <c r="I25" s="117">
        <f>Taula38910[[#This Row],[Producció]]*'Introducció criteris'!$I$17</f>
        <v>682.5</v>
      </c>
      <c r="J25" s="118">
        <f>Taula2[[#This Row],[CONSUM TOTAL]]-Taula38910[[#This Row],[Autoconsum instantani]]</f>
        <v>1820</v>
      </c>
    </row>
    <row r="26" spans="1:10">
      <c r="A26" s="166">
        <f>'Introducció consums'!A26</f>
        <v>23</v>
      </c>
      <c r="B26" s="195" t="s">
        <v>66</v>
      </c>
      <c r="C26" t="str">
        <f>'Introducció consums'!C26</f>
        <v>Quadre EP 23</v>
      </c>
      <c r="D26" s="117">
        <f>Taula2[[#This Row],[CONSUM TOTAL]]*'Introducció criteris'!$E$17</f>
        <v>2760</v>
      </c>
      <c r="E26" s="10">
        <f>Taula38910[[#This Row],[Producció]]/'Introducció criteris'!$E$21</f>
        <v>2.0444444444444443</v>
      </c>
      <c r="F26" s="35">
        <f>+Taula38910[[#This Row],[Potència pic]]/'Introducció criteris'!$E$23</f>
        <v>10.222222222222221</v>
      </c>
      <c r="G26" s="117">
        <f>IF(Taula38910[[#This Row],[Tipus subministrament]]="Quadre EP",0,Taula38910[[#This Row],[Producció]]*'Introducció criteris'!$G$17)</f>
        <v>0</v>
      </c>
      <c r="H26" s="117">
        <f>Taula38910[[#This Row],[Producció]]-Taula38910[[#This Row],[Autoconsum instantani]]-Taula38910[[#This Row],[Abocament a xarxa sense compensar]]</f>
        <v>2070</v>
      </c>
      <c r="I26" s="117">
        <f>Taula38910[[#This Row],[Producció]]*'Introducció criteris'!$I$17</f>
        <v>690</v>
      </c>
      <c r="J26" s="118">
        <f>Taula2[[#This Row],[CONSUM TOTAL]]-Taula38910[[#This Row],[Autoconsum instantani]]</f>
        <v>1840</v>
      </c>
    </row>
    <row r="27" spans="1:10">
      <c r="A27" s="166">
        <f>'Introducció consums'!A27</f>
        <v>24</v>
      </c>
      <c r="B27" s="195" t="s">
        <v>66</v>
      </c>
      <c r="C27" t="str">
        <f>'Introducció consums'!C27</f>
        <v>Quadre EP 24</v>
      </c>
      <c r="D27" s="117">
        <f>Taula2[[#This Row],[CONSUM TOTAL]]*'Introducció criteris'!$E$17</f>
        <v>2790</v>
      </c>
      <c r="E27" s="10">
        <f>Taula38910[[#This Row],[Producció]]/'Introducció criteris'!$E$21</f>
        <v>2.0666666666666669</v>
      </c>
      <c r="F27" s="35">
        <f>+Taula38910[[#This Row],[Potència pic]]/'Introducció criteris'!$E$23</f>
        <v>10.333333333333334</v>
      </c>
      <c r="G27" s="117">
        <f>IF(Taula38910[[#This Row],[Tipus subministrament]]="Quadre EP",0,Taula38910[[#This Row],[Producció]]*'Introducció criteris'!$G$17)</f>
        <v>0</v>
      </c>
      <c r="H27" s="117">
        <f>Taula38910[[#This Row],[Producció]]-Taula38910[[#This Row],[Autoconsum instantani]]-Taula38910[[#This Row],[Abocament a xarxa sense compensar]]</f>
        <v>2092.5</v>
      </c>
      <c r="I27" s="117">
        <f>Taula38910[[#This Row],[Producció]]*'Introducció criteris'!$I$17</f>
        <v>697.5</v>
      </c>
      <c r="J27" s="118">
        <f>Taula2[[#This Row],[CONSUM TOTAL]]-Taula38910[[#This Row],[Autoconsum instantani]]</f>
        <v>1860</v>
      </c>
    </row>
    <row r="28" spans="1:10">
      <c r="A28" s="166">
        <f>'Introducció consums'!A28</f>
        <v>25</v>
      </c>
      <c r="B28" s="195" t="s">
        <v>66</v>
      </c>
      <c r="C28" t="str">
        <f>'Introducció consums'!C28</f>
        <v>Quadre EP 25</v>
      </c>
      <c r="D28" s="117">
        <f>Taula2[[#This Row],[CONSUM TOTAL]]*'Introducció criteris'!$E$17</f>
        <v>2820</v>
      </c>
      <c r="E28" s="10">
        <f>Taula38910[[#This Row],[Producció]]/'Introducció criteris'!$E$21</f>
        <v>2.088888888888889</v>
      </c>
      <c r="F28" s="35">
        <f>+Taula38910[[#This Row],[Potència pic]]/'Introducció criteris'!$E$23</f>
        <v>10.444444444444445</v>
      </c>
      <c r="G28" s="117">
        <f>IF(Taula38910[[#This Row],[Tipus subministrament]]="Quadre EP",0,Taula38910[[#This Row],[Producció]]*'Introducció criteris'!$G$17)</f>
        <v>0</v>
      </c>
      <c r="H28" s="117">
        <f>Taula38910[[#This Row],[Producció]]-Taula38910[[#This Row],[Autoconsum instantani]]-Taula38910[[#This Row],[Abocament a xarxa sense compensar]]</f>
        <v>2115</v>
      </c>
      <c r="I28" s="117">
        <f>Taula38910[[#This Row],[Producció]]*'Introducció criteris'!$I$17</f>
        <v>705</v>
      </c>
      <c r="J28" s="118">
        <f>Taula2[[#This Row],[CONSUM TOTAL]]-Taula38910[[#This Row],[Autoconsum instantani]]</f>
        <v>1880</v>
      </c>
    </row>
    <row r="29" spans="1:10">
      <c r="A29" s="166">
        <f>'Introducció consums'!A29</f>
        <v>26</v>
      </c>
      <c r="B29" s="195" t="s">
        <v>66</v>
      </c>
      <c r="C29" t="str">
        <f>'Introducció consums'!C29</f>
        <v>Quadre EP 26</v>
      </c>
      <c r="D29" s="117">
        <f>Taula2[[#This Row],[CONSUM TOTAL]]*'Introducció criteris'!$E$17</f>
        <v>2850</v>
      </c>
      <c r="E29" s="10">
        <f>Taula38910[[#This Row],[Producció]]/'Introducció criteris'!$E$21</f>
        <v>2.1111111111111112</v>
      </c>
      <c r="F29" s="35">
        <f>+Taula38910[[#This Row],[Potència pic]]/'Introducció criteris'!$E$23</f>
        <v>10.555555555555555</v>
      </c>
      <c r="G29" s="117">
        <f>IF(Taula38910[[#This Row],[Tipus subministrament]]="Quadre EP",0,Taula38910[[#This Row],[Producció]]*'Introducció criteris'!$G$17)</f>
        <v>0</v>
      </c>
      <c r="H29" s="117">
        <f>Taula38910[[#This Row],[Producció]]-Taula38910[[#This Row],[Autoconsum instantani]]-Taula38910[[#This Row],[Abocament a xarxa sense compensar]]</f>
        <v>2137.5</v>
      </c>
      <c r="I29" s="117">
        <f>Taula38910[[#This Row],[Producció]]*'Introducció criteris'!$I$17</f>
        <v>712.5</v>
      </c>
      <c r="J29" s="118">
        <f>Taula2[[#This Row],[CONSUM TOTAL]]-Taula38910[[#This Row],[Autoconsum instantani]]</f>
        <v>1900</v>
      </c>
    </row>
    <row r="30" spans="1:10">
      <c r="A30" s="166">
        <f>'Introducció consums'!A30</f>
        <v>27</v>
      </c>
      <c r="B30" s="195" t="s">
        <v>66</v>
      </c>
      <c r="C30" t="str">
        <f>'Introducció consums'!C30</f>
        <v>Quadre EP 27</v>
      </c>
      <c r="D30" s="117">
        <f>Taula2[[#This Row],[CONSUM TOTAL]]*'Introducció criteris'!$E$17</f>
        <v>2880</v>
      </c>
      <c r="E30" s="10">
        <f>Taula38910[[#This Row],[Producció]]/'Introducció criteris'!$E$21</f>
        <v>2.1333333333333333</v>
      </c>
      <c r="F30" s="35">
        <f>+Taula38910[[#This Row],[Potència pic]]/'Introducció criteris'!$E$23</f>
        <v>10.666666666666666</v>
      </c>
      <c r="G30" s="117">
        <f>IF(Taula38910[[#This Row],[Tipus subministrament]]="Quadre EP",0,Taula38910[[#This Row],[Producció]]*'Introducció criteris'!$G$17)</f>
        <v>0</v>
      </c>
      <c r="H30" s="117">
        <f>Taula38910[[#This Row],[Producció]]-Taula38910[[#This Row],[Autoconsum instantani]]-Taula38910[[#This Row],[Abocament a xarxa sense compensar]]</f>
        <v>2160</v>
      </c>
      <c r="I30" s="117">
        <f>Taula38910[[#This Row],[Producció]]*'Introducció criteris'!$I$17</f>
        <v>720</v>
      </c>
      <c r="J30" s="118">
        <f>Taula2[[#This Row],[CONSUM TOTAL]]-Taula38910[[#This Row],[Autoconsum instantani]]</f>
        <v>1920</v>
      </c>
    </row>
    <row r="31" spans="1:10">
      <c r="A31" s="166">
        <f>'Introducció consums'!A31</f>
        <v>28</v>
      </c>
      <c r="B31" s="195" t="s">
        <v>66</v>
      </c>
      <c r="C31" t="str">
        <f>'Introducció consums'!C31</f>
        <v>Quadre EP 28</v>
      </c>
      <c r="D31" s="117">
        <f>Taula2[[#This Row],[CONSUM TOTAL]]*'Introducció criteris'!$E$17</f>
        <v>2910</v>
      </c>
      <c r="E31" s="10">
        <f>Taula38910[[#This Row],[Producció]]/'Introducció criteris'!$E$21</f>
        <v>2.1555555555555554</v>
      </c>
      <c r="F31" s="35">
        <f>+Taula38910[[#This Row],[Potència pic]]/'Introducció criteris'!$E$23</f>
        <v>10.777777777777777</v>
      </c>
      <c r="G31" s="117">
        <f>IF(Taula38910[[#This Row],[Tipus subministrament]]="Quadre EP",0,Taula38910[[#This Row],[Producció]]*'Introducció criteris'!$G$17)</f>
        <v>0</v>
      </c>
      <c r="H31" s="117">
        <f>Taula38910[[#This Row],[Producció]]-Taula38910[[#This Row],[Autoconsum instantani]]-Taula38910[[#This Row],[Abocament a xarxa sense compensar]]</f>
        <v>2182.5</v>
      </c>
      <c r="I31" s="117">
        <f>Taula38910[[#This Row],[Producció]]*'Introducció criteris'!$I$17</f>
        <v>727.5</v>
      </c>
      <c r="J31" s="118">
        <f>Taula2[[#This Row],[CONSUM TOTAL]]-Taula38910[[#This Row],[Autoconsum instantani]]</f>
        <v>1940</v>
      </c>
    </row>
    <row r="32" spans="1:10">
      <c r="A32" s="166">
        <f>'Introducció consums'!A32</f>
        <v>29</v>
      </c>
      <c r="B32" s="195" t="s">
        <v>66</v>
      </c>
      <c r="C32" t="str">
        <f>'Introducció consums'!C32</f>
        <v>Quadre EP 29</v>
      </c>
      <c r="D32" s="117">
        <f>Taula2[[#This Row],[CONSUM TOTAL]]*'Introducció criteris'!$E$17</f>
        <v>2940</v>
      </c>
      <c r="E32" s="10">
        <f>Taula38910[[#This Row],[Producció]]/'Introducció criteris'!$E$21</f>
        <v>2.1777777777777776</v>
      </c>
      <c r="F32" s="35">
        <f>+Taula38910[[#This Row],[Potència pic]]/'Introducció criteris'!$E$23</f>
        <v>10.888888888888888</v>
      </c>
      <c r="G32" s="117">
        <f>IF(Taula38910[[#This Row],[Tipus subministrament]]="Quadre EP",0,Taula38910[[#This Row],[Producció]]*'Introducció criteris'!$G$17)</f>
        <v>0</v>
      </c>
      <c r="H32" s="117">
        <f>Taula38910[[#This Row],[Producció]]-Taula38910[[#This Row],[Autoconsum instantani]]-Taula38910[[#This Row],[Abocament a xarxa sense compensar]]</f>
        <v>2205</v>
      </c>
      <c r="I32" s="117">
        <f>Taula38910[[#This Row],[Producció]]*'Introducció criteris'!$I$17</f>
        <v>735</v>
      </c>
      <c r="J32" s="118">
        <f>Taula2[[#This Row],[CONSUM TOTAL]]-Taula38910[[#This Row],[Autoconsum instantani]]</f>
        <v>1960</v>
      </c>
    </row>
    <row r="33" spans="1:10">
      <c r="A33" s="166">
        <f>'Introducció consums'!A33</f>
        <v>30</v>
      </c>
      <c r="B33" s="195" t="s">
        <v>66</v>
      </c>
      <c r="C33" t="str">
        <f>'Introducció consums'!C33</f>
        <v>Quadre EP 30</v>
      </c>
      <c r="D33" s="117">
        <f>Taula2[[#This Row],[CONSUM TOTAL]]*'Introducció criteris'!$E$17</f>
        <v>2970</v>
      </c>
      <c r="E33" s="10">
        <f>Taula38910[[#This Row],[Producció]]/'Introducció criteris'!$E$21</f>
        <v>2.2000000000000002</v>
      </c>
      <c r="F33" s="35">
        <f>+Taula38910[[#This Row],[Potència pic]]/'Introducció criteris'!$E$23</f>
        <v>11</v>
      </c>
      <c r="G33" s="117">
        <f>IF(Taula38910[[#This Row],[Tipus subministrament]]="Quadre EP",0,Taula38910[[#This Row],[Producció]]*'Introducció criteris'!$G$17)</f>
        <v>0</v>
      </c>
      <c r="H33" s="117">
        <f>Taula38910[[#This Row],[Producció]]-Taula38910[[#This Row],[Autoconsum instantani]]-Taula38910[[#This Row],[Abocament a xarxa sense compensar]]</f>
        <v>2227.5</v>
      </c>
      <c r="I33" s="117">
        <f>Taula38910[[#This Row],[Producció]]*'Introducció criteris'!$I$17</f>
        <v>742.5</v>
      </c>
      <c r="J33" s="118">
        <f>Taula2[[#This Row],[CONSUM TOTAL]]-Taula38910[[#This Row],[Autoconsum instantani]]</f>
        <v>1980</v>
      </c>
    </row>
    <row r="34" spans="1:10">
      <c r="A34" s="166">
        <f>'Introducció consums'!A34</f>
        <v>31</v>
      </c>
      <c r="B34" s="195" t="s">
        <v>66</v>
      </c>
      <c r="C34" t="str">
        <f>'Introducció consums'!C34</f>
        <v>Quadre EP 31</v>
      </c>
      <c r="D34" s="117">
        <f>Taula2[[#This Row],[CONSUM TOTAL]]*'Introducció criteris'!$E$17</f>
        <v>3000</v>
      </c>
      <c r="E34" s="10">
        <f>Taula38910[[#This Row],[Producció]]/'Introducció criteris'!$E$21</f>
        <v>2.2222222222222223</v>
      </c>
      <c r="F34" s="35">
        <f>+Taula38910[[#This Row],[Potència pic]]/'Introducció criteris'!$E$23</f>
        <v>11.111111111111111</v>
      </c>
      <c r="G34" s="117">
        <f>IF(Taula38910[[#This Row],[Tipus subministrament]]="Quadre EP",0,Taula38910[[#This Row],[Producció]]*'Introducció criteris'!$G$17)</f>
        <v>0</v>
      </c>
      <c r="H34" s="117">
        <f>Taula38910[[#This Row],[Producció]]-Taula38910[[#This Row],[Autoconsum instantani]]-Taula38910[[#This Row],[Abocament a xarxa sense compensar]]</f>
        <v>2250</v>
      </c>
      <c r="I34" s="117">
        <f>Taula38910[[#This Row],[Producció]]*'Introducció criteris'!$I$17</f>
        <v>750</v>
      </c>
      <c r="J34" s="118">
        <f>Taula2[[#This Row],[CONSUM TOTAL]]-Taula38910[[#This Row],[Autoconsum instantani]]</f>
        <v>2000</v>
      </c>
    </row>
    <row r="35" spans="1:10">
      <c r="A35" s="166">
        <f>'Introducció consums'!A35</f>
        <v>32</v>
      </c>
      <c r="B35" s="195" t="s">
        <v>66</v>
      </c>
      <c r="C35" t="str">
        <f>'Introducció consums'!C35</f>
        <v>Quadre EP 32</v>
      </c>
      <c r="D35" s="117">
        <f>Taula2[[#This Row],[CONSUM TOTAL]]*'Introducció criteris'!$E$17</f>
        <v>3030</v>
      </c>
      <c r="E35" s="10">
        <f>Taula38910[[#This Row],[Producció]]/'Introducció criteris'!$E$21</f>
        <v>2.2444444444444445</v>
      </c>
      <c r="F35" s="35">
        <f>+Taula38910[[#This Row],[Potència pic]]/'Introducció criteris'!$E$23</f>
        <v>11.222222222222221</v>
      </c>
      <c r="G35" s="117">
        <f>IF(Taula38910[[#This Row],[Tipus subministrament]]="Quadre EP",0,Taula38910[[#This Row],[Producció]]*'Introducció criteris'!$G$17)</f>
        <v>0</v>
      </c>
      <c r="H35" s="117">
        <f>Taula38910[[#This Row],[Producció]]-Taula38910[[#This Row],[Autoconsum instantani]]-Taula38910[[#This Row],[Abocament a xarxa sense compensar]]</f>
        <v>2272.5</v>
      </c>
      <c r="I35" s="117">
        <f>Taula38910[[#This Row],[Producció]]*'Introducció criteris'!$I$17</f>
        <v>757.5</v>
      </c>
      <c r="J35" s="118">
        <f>Taula2[[#This Row],[CONSUM TOTAL]]-Taula38910[[#This Row],[Autoconsum instantani]]</f>
        <v>2020</v>
      </c>
    </row>
    <row r="36" spans="1:10">
      <c r="A36" s="166">
        <f>'Introducció consums'!A36</f>
        <v>33</v>
      </c>
      <c r="B36" s="195" t="s">
        <v>66</v>
      </c>
      <c r="C36" t="str">
        <f>'Introducció consums'!C36</f>
        <v>Quadre EP 33</v>
      </c>
      <c r="D36" s="117">
        <f>Taula2[[#This Row],[CONSUM TOTAL]]*'Introducció criteris'!$E$17</f>
        <v>3060</v>
      </c>
      <c r="E36" s="10">
        <f>Taula38910[[#This Row],[Producció]]/'Introducció criteris'!$E$21</f>
        <v>2.2666666666666666</v>
      </c>
      <c r="F36" s="35">
        <f>+Taula38910[[#This Row],[Potència pic]]/'Introducció criteris'!$E$23</f>
        <v>11.333333333333332</v>
      </c>
      <c r="G36" s="117">
        <f>IF(Taula38910[[#This Row],[Tipus subministrament]]="Quadre EP",0,Taula38910[[#This Row],[Producció]]*'Introducció criteris'!$G$17)</f>
        <v>0</v>
      </c>
      <c r="H36" s="117">
        <f>Taula38910[[#This Row],[Producció]]-Taula38910[[#This Row],[Autoconsum instantani]]-Taula38910[[#This Row],[Abocament a xarxa sense compensar]]</f>
        <v>2295</v>
      </c>
      <c r="I36" s="117">
        <f>Taula38910[[#This Row],[Producció]]*'Introducció criteris'!$I$17</f>
        <v>765</v>
      </c>
      <c r="J36" s="118">
        <f>Taula2[[#This Row],[CONSUM TOTAL]]-Taula38910[[#This Row],[Autoconsum instantani]]</f>
        <v>2040</v>
      </c>
    </row>
    <row r="37" spans="1:10">
      <c r="A37" s="166">
        <f>'Introducció consums'!A37</f>
        <v>34</v>
      </c>
      <c r="B37" s="195" t="s">
        <v>66</v>
      </c>
      <c r="C37" t="str">
        <f>'Introducció consums'!C37</f>
        <v>Quadre EP 34</v>
      </c>
      <c r="D37" s="117">
        <f>Taula2[[#This Row],[CONSUM TOTAL]]*'Introducció criteris'!$E$17</f>
        <v>3090</v>
      </c>
      <c r="E37" s="10">
        <f>Taula38910[[#This Row],[Producció]]/'Introducció criteris'!$E$21</f>
        <v>2.2888888888888888</v>
      </c>
      <c r="F37" s="35">
        <f>+Taula38910[[#This Row],[Potència pic]]/'Introducció criteris'!$E$23</f>
        <v>11.444444444444443</v>
      </c>
      <c r="G37" s="117">
        <f>IF(Taula38910[[#This Row],[Tipus subministrament]]="Quadre EP",0,Taula38910[[#This Row],[Producció]]*'Introducció criteris'!$G$17)</f>
        <v>0</v>
      </c>
      <c r="H37" s="117">
        <f>Taula38910[[#This Row],[Producció]]-Taula38910[[#This Row],[Autoconsum instantani]]-Taula38910[[#This Row],[Abocament a xarxa sense compensar]]</f>
        <v>2317.5</v>
      </c>
      <c r="I37" s="117">
        <f>Taula38910[[#This Row],[Producció]]*'Introducció criteris'!$I$17</f>
        <v>772.5</v>
      </c>
      <c r="J37" s="118">
        <f>Taula2[[#This Row],[CONSUM TOTAL]]-Taula38910[[#This Row],[Autoconsum instantani]]</f>
        <v>2060</v>
      </c>
    </row>
    <row r="38" spans="1:10">
      <c r="A38" s="166">
        <f>'Introducció consums'!A38</f>
        <v>35</v>
      </c>
      <c r="B38" s="195" t="s">
        <v>66</v>
      </c>
      <c r="C38" t="str">
        <f>'Introducció consums'!C38</f>
        <v>Quadre EP 35</v>
      </c>
      <c r="D38" s="117">
        <f>Taula2[[#This Row],[CONSUM TOTAL]]*'Introducció criteris'!$E$17</f>
        <v>3120</v>
      </c>
      <c r="E38" s="10">
        <f>Taula38910[[#This Row],[Producció]]/'Introducció criteris'!$E$21</f>
        <v>2.3111111111111109</v>
      </c>
      <c r="F38" s="35">
        <f>+Taula38910[[#This Row],[Potència pic]]/'Introducció criteris'!$E$23</f>
        <v>11.555555555555554</v>
      </c>
      <c r="G38" s="117">
        <f>IF(Taula38910[[#This Row],[Tipus subministrament]]="Quadre EP",0,Taula38910[[#This Row],[Producció]]*'Introducció criteris'!$G$17)</f>
        <v>0</v>
      </c>
      <c r="H38" s="117">
        <f>Taula38910[[#This Row],[Producció]]-Taula38910[[#This Row],[Autoconsum instantani]]-Taula38910[[#This Row],[Abocament a xarxa sense compensar]]</f>
        <v>2340</v>
      </c>
      <c r="I38" s="117">
        <f>Taula38910[[#This Row],[Producció]]*'Introducció criteris'!$I$17</f>
        <v>780</v>
      </c>
      <c r="J38" s="118">
        <f>Taula2[[#This Row],[CONSUM TOTAL]]-Taula38910[[#This Row],[Autoconsum instantani]]</f>
        <v>2080</v>
      </c>
    </row>
    <row r="39" spans="1:10">
      <c r="A39" s="166">
        <f>'Introducció consums'!A39</f>
        <v>36</v>
      </c>
      <c r="B39" s="195" t="s">
        <v>66</v>
      </c>
      <c r="C39" t="str">
        <f>'Introducció consums'!C39</f>
        <v>Quadre EP 36</v>
      </c>
      <c r="D39" s="117">
        <f>Taula2[[#This Row],[CONSUM TOTAL]]*'Introducció criteris'!$E$17</f>
        <v>3150</v>
      </c>
      <c r="E39" s="10">
        <f>Taula38910[[#This Row],[Producció]]/'Introducció criteris'!$E$21</f>
        <v>2.3333333333333335</v>
      </c>
      <c r="F39" s="35">
        <f>+Taula38910[[#This Row],[Potència pic]]/'Introducció criteris'!$E$23</f>
        <v>11.666666666666666</v>
      </c>
      <c r="G39" s="117">
        <f>IF(Taula38910[[#This Row],[Tipus subministrament]]="Quadre EP",0,Taula38910[[#This Row],[Producció]]*'Introducció criteris'!$G$17)</f>
        <v>0</v>
      </c>
      <c r="H39" s="117">
        <f>Taula38910[[#This Row],[Producció]]-Taula38910[[#This Row],[Autoconsum instantani]]-Taula38910[[#This Row],[Abocament a xarxa sense compensar]]</f>
        <v>2362.5</v>
      </c>
      <c r="I39" s="117">
        <f>Taula38910[[#This Row],[Producció]]*'Introducció criteris'!$I$17</f>
        <v>787.5</v>
      </c>
      <c r="J39" s="118">
        <f>Taula2[[#This Row],[CONSUM TOTAL]]-Taula38910[[#This Row],[Autoconsum instantani]]</f>
        <v>2100</v>
      </c>
    </row>
    <row r="40" spans="1:10">
      <c r="A40" s="166">
        <f>'Introducció consums'!A40</f>
        <v>37</v>
      </c>
      <c r="B40" s="195" t="s">
        <v>66</v>
      </c>
      <c r="C40" t="str">
        <f>'Introducció consums'!C40</f>
        <v>Quadre EP 37</v>
      </c>
      <c r="D40" s="117">
        <f>Taula2[[#This Row],[CONSUM TOTAL]]*'Introducció criteris'!$E$17</f>
        <v>3180</v>
      </c>
      <c r="E40" s="10">
        <f>Taula38910[[#This Row],[Producció]]/'Introducció criteris'!$E$21</f>
        <v>2.3555555555555556</v>
      </c>
      <c r="F40" s="35">
        <f>+Taula38910[[#This Row],[Potència pic]]/'Introducció criteris'!$E$23</f>
        <v>11.777777777777777</v>
      </c>
      <c r="G40" s="117">
        <f>IF(Taula38910[[#This Row],[Tipus subministrament]]="Quadre EP",0,Taula38910[[#This Row],[Producció]]*'Introducció criteris'!$G$17)</f>
        <v>0</v>
      </c>
      <c r="H40" s="117">
        <f>Taula38910[[#This Row],[Producció]]-Taula38910[[#This Row],[Autoconsum instantani]]-Taula38910[[#This Row],[Abocament a xarxa sense compensar]]</f>
        <v>2385</v>
      </c>
      <c r="I40" s="117">
        <f>Taula38910[[#This Row],[Producció]]*'Introducció criteris'!$I$17</f>
        <v>795</v>
      </c>
      <c r="J40" s="118">
        <f>Taula2[[#This Row],[CONSUM TOTAL]]-Taula38910[[#This Row],[Autoconsum instantani]]</f>
        <v>2120</v>
      </c>
    </row>
    <row r="41" spans="1:10">
      <c r="A41" s="166">
        <f>'Introducció consums'!A41</f>
        <v>38</v>
      </c>
      <c r="B41" s="195" t="s">
        <v>66</v>
      </c>
      <c r="C41" t="str">
        <f>'Introducció consums'!C41</f>
        <v>Quadre EP 38</v>
      </c>
      <c r="D41" s="117">
        <f>Taula2[[#This Row],[CONSUM TOTAL]]*'Introducció criteris'!$E$17</f>
        <v>3210</v>
      </c>
      <c r="E41" s="10">
        <f>Taula38910[[#This Row],[Producció]]/'Introducció criteris'!$E$21</f>
        <v>2.3777777777777778</v>
      </c>
      <c r="F41" s="35">
        <f>+Taula38910[[#This Row],[Potència pic]]/'Introducció criteris'!$E$23</f>
        <v>11.888888888888888</v>
      </c>
      <c r="G41" s="117">
        <f>IF(Taula38910[[#This Row],[Tipus subministrament]]="Quadre EP",0,Taula38910[[#This Row],[Producció]]*'Introducció criteris'!$G$17)</f>
        <v>0</v>
      </c>
      <c r="H41" s="117">
        <f>Taula38910[[#This Row],[Producció]]-Taula38910[[#This Row],[Autoconsum instantani]]-Taula38910[[#This Row],[Abocament a xarxa sense compensar]]</f>
        <v>2407.5</v>
      </c>
      <c r="I41" s="117">
        <f>Taula38910[[#This Row],[Producció]]*'Introducció criteris'!$I$17</f>
        <v>802.5</v>
      </c>
      <c r="J41" s="118">
        <f>Taula2[[#This Row],[CONSUM TOTAL]]-Taula38910[[#This Row],[Autoconsum instantani]]</f>
        <v>2140</v>
      </c>
    </row>
    <row r="42" spans="1:10">
      <c r="A42" s="166">
        <f>'Introducció consums'!A42</f>
        <v>39</v>
      </c>
      <c r="B42" s="195" t="s">
        <v>66</v>
      </c>
      <c r="C42" t="str">
        <f>'Introducció consums'!C42</f>
        <v>Quadre EP 39</v>
      </c>
      <c r="D42" s="117">
        <f>Taula2[[#This Row],[CONSUM TOTAL]]*'Introducció criteris'!$E$17</f>
        <v>3240</v>
      </c>
      <c r="E42" s="10">
        <f>Taula38910[[#This Row],[Producció]]/'Introducció criteris'!$E$21</f>
        <v>2.4</v>
      </c>
      <c r="F42" s="35">
        <f>+Taula38910[[#This Row],[Potència pic]]/'Introducció criteris'!$E$23</f>
        <v>11.999999999999998</v>
      </c>
      <c r="G42" s="117">
        <f>IF(Taula38910[[#This Row],[Tipus subministrament]]="Quadre EP",0,Taula38910[[#This Row],[Producció]]*'Introducció criteris'!$G$17)</f>
        <v>0</v>
      </c>
      <c r="H42" s="117">
        <f>Taula38910[[#This Row],[Producció]]-Taula38910[[#This Row],[Autoconsum instantani]]-Taula38910[[#This Row],[Abocament a xarxa sense compensar]]</f>
        <v>2430</v>
      </c>
      <c r="I42" s="117">
        <f>Taula38910[[#This Row],[Producció]]*'Introducció criteris'!$I$17</f>
        <v>810</v>
      </c>
      <c r="J42" s="118">
        <f>Taula2[[#This Row],[CONSUM TOTAL]]-Taula38910[[#This Row],[Autoconsum instantani]]</f>
        <v>2160</v>
      </c>
    </row>
    <row r="43" spans="1:10">
      <c r="A43" s="166">
        <f>'Introducció consums'!A43</f>
        <v>40</v>
      </c>
      <c r="B43" s="195" t="s">
        <v>66</v>
      </c>
      <c r="C43" t="str">
        <f>'Introducció consums'!C43</f>
        <v>Quadre EP 40</v>
      </c>
      <c r="D43" s="117">
        <f>Taula2[[#This Row],[CONSUM TOTAL]]*'Introducció criteris'!$E$17</f>
        <v>3270</v>
      </c>
      <c r="E43" s="10">
        <f>Taula38910[[#This Row],[Producció]]/'Introducció criteris'!$E$21</f>
        <v>2.4222222222222221</v>
      </c>
      <c r="F43" s="35">
        <f>+Taula38910[[#This Row],[Potència pic]]/'Introducció criteris'!$E$23</f>
        <v>12.111111111111109</v>
      </c>
      <c r="G43" s="117">
        <f>IF(Taula38910[[#This Row],[Tipus subministrament]]="Quadre EP",0,Taula38910[[#This Row],[Producció]]*'Introducció criteris'!$G$17)</f>
        <v>0</v>
      </c>
      <c r="H43" s="117">
        <f>Taula38910[[#This Row],[Producció]]-Taula38910[[#This Row],[Autoconsum instantani]]-Taula38910[[#This Row],[Abocament a xarxa sense compensar]]</f>
        <v>2452.5</v>
      </c>
      <c r="I43" s="117">
        <f>Taula38910[[#This Row],[Producció]]*'Introducció criteris'!$I$17</f>
        <v>817.5</v>
      </c>
      <c r="J43" s="118">
        <f>Taula2[[#This Row],[CONSUM TOTAL]]-Taula38910[[#This Row],[Autoconsum instantani]]</f>
        <v>2180</v>
      </c>
    </row>
    <row r="44" spans="1:10">
      <c r="A44" s="166">
        <f>'Introducció consums'!A44</f>
        <v>41</v>
      </c>
      <c r="B44" s="195" t="s">
        <v>66</v>
      </c>
      <c r="C44" t="str">
        <f>'Introducció consums'!C44</f>
        <v>Quadre EP 41</v>
      </c>
      <c r="D44" s="117">
        <f>Taula2[[#This Row],[CONSUM TOTAL]]*'Introducció criteris'!$E$17</f>
        <v>3300</v>
      </c>
      <c r="E44" s="10">
        <f>Taula38910[[#This Row],[Producció]]/'Introducció criteris'!$E$21</f>
        <v>2.4444444444444446</v>
      </c>
      <c r="F44" s="35">
        <f>+Taula38910[[#This Row],[Potència pic]]/'Introducció criteris'!$E$23</f>
        <v>12.222222222222223</v>
      </c>
      <c r="G44" s="117">
        <f>IF(Taula38910[[#This Row],[Tipus subministrament]]="Quadre EP",0,Taula38910[[#This Row],[Producció]]*'Introducció criteris'!$G$17)</f>
        <v>0</v>
      </c>
      <c r="H44" s="117">
        <f>Taula38910[[#This Row],[Producció]]-Taula38910[[#This Row],[Autoconsum instantani]]-Taula38910[[#This Row],[Abocament a xarxa sense compensar]]</f>
        <v>2475</v>
      </c>
      <c r="I44" s="117">
        <f>Taula38910[[#This Row],[Producció]]*'Introducció criteris'!$I$17</f>
        <v>825</v>
      </c>
      <c r="J44" s="118">
        <f>Taula2[[#This Row],[CONSUM TOTAL]]-Taula38910[[#This Row],[Autoconsum instantani]]</f>
        <v>2200</v>
      </c>
    </row>
    <row r="45" spans="1:10">
      <c r="A45" s="166">
        <f>'Introducció consums'!A45</f>
        <v>42</v>
      </c>
      <c r="B45" s="195" t="s">
        <v>66</v>
      </c>
      <c r="C45" t="str">
        <f>'Introducció consums'!C45</f>
        <v>Quadre EP 42</v>
      </c>
      <c r="D45" s="117">
        <f>Taula2[[#This Row],[CONSUM TOTAL]]*'Introducció criteris'!$E$17</f>
        <v>3330</v>
      </c>
      <c r="E45" s="10">
        <f>Taula38910[[#This Row],[Producció]]/'Introducció criteris'!$E$21</f>
        <v>2.4666666666666668</v>
      </c>
      <c r="F45" s="35">
        <f>+Taula38910[[#This Row],[Potència pic]]/'Introducció criteris'!$E$23</f>
        <v>12.333333333333334</v>
      </c>
      <c r="G45" s="117">
        <f>IF(Taula38910[[#This Row],[Tipus subministrament]]="Quadre EP",0,Taula38910[[#This Row],[Producció]]*'Introducció criteris'!$G$17)</f>
        <v>0</v>
      </c>
      <c r="H45" s="117">
        <f>Taula38910[[#This Row],[Producció]]-Taula38910[[#This Row],[Autoconsum instantani]]-Taula38910[[#This Row],[Abocament a xarxa sense compensar]]</f>
        <v>2497.5</v>
      </c>
      <c r="I45" s="117">
        <f>Taula38910[[#This Row],[Producció]]*'Introducció criteris'!$I$17</f>
        <v>832.5</v>
      </c>
      <c r="J45" s="118">
        <f>Taula2[[#This Row],[CONSUM TOTAL]]-Taula38910[[#This Row],[Autoconsum instantani]]</f>
        <v>2220</v>
      </c>
    </row>
    <row r="46" spans="1:10">
      <c r="A46" s="166">
        <f>'Introducció consums'!A46</f>
        <v>43</v>
      </c>
      <c r="B46" s="195" t="s">
        <v>66</v>
      </c>
      <c r="C46" t="str">
        <f>'Introducció consums'!C46</f>
        <v>Quadre EP 43</v>
      </c>
      <c r="D46" s="117">
        <f>Taula2[[#This Row],[CONSUM TOTAL]]*'Introducció criteris'!$E$17</f>
        <v>3360</v>
      </c>
      <c r="E46" s="10">
        <f>Taula38910[[#This Row],[Producció]]/'Introducció criteris'!$E$21</f>
        <v>2.4888888888888889</v>
      </c>
      <c r="F46" s="35">
        <f>+Taula38910[[#This Row],[Potència pic]]/'Introducció criteris'!$E$23</f>
        <v>12.444444444444445</v>
      </c>
      <c r="G46" s="117">
        <f>IF(Taula38910[[#This Row],[Tipus subministrament]]="Quadre EP",0,Taula38910[[#This Row],[Producció]]*'Introducció criteris'!$G$17)</f>
        <v>0</v>
      </c>
      <c r="H46" s="117">
        <f>Taula38910[[#This Row],[Producció]]-Taula38910[[#This Row],[Autoconsum instantani]]-Taula38910[[#This Row],[Abocament a xarxa sense compensar]]</f>
        <v>2520</v>
      </c>
      <c r="I46" s="117">
        <f>Taula38910[[#This Row],[Producció]]*'Introducció criteris'!$I$17</f>
        <v>840</v>
      </c>
      <c r="J46" s="118">
        <f>Taula2[[#This Row],[CONSUM TOTAL]]-Taula38910[[#This Row],[Autoconsum instantani]]</f>
        <v>2240</v>
      </c>
    </row>
    <row r="47" spans="1:10">
      <c r="A47" s="166">
        <f>'Introducció consums'!A47</f>
        <v>44</v>
      </c>
      <c r="B47" s="195" t="s">
        <v>66</v>
      </c>
      <c r="C47" t="str">
        <f>'Introducció consums'!C47</f>
        <v>Quadre EP 44</v>
      </c>
      <c r="D47" s="117">
        <f>Taula2[[#This Row],[CONSUM TOTAL]]*'Introducció criteris'!$E$17</f>
        <v>3390</v>
      </c>
      <c r="E47" s="10">
        <f>Taula38910[[#This Row],[Producció]]/'Introducció criteris'!$E$21</f>
        <v>2.5111111111111111</v>
      </c>
      <c r="F47" s="35">
        <f>+Taula38910[[#This Row],[Potència pic]]/'Introducció criteris'!$E$23</f>
        <v>12.555555555555555</v>
      </c>
      <c r="G47" s="117">
        <f>IF(Taula38910[[#This Row],[Tipus subministrament]]="Quadre EP",0,Taula38910[[#This Row],[Producció]]*'Introducció criteris'!$G$17)</f>
        <v>0</v>
      </c>
      <c r="H47" s="117">
        <f>Taula38910[[#This Row],[Producció]]-Taula38910[[#This Row],[Autoconsum instantani]]-Taula38910[[#This Row],[Abocament a xarxa sense compensar]]</f>
        <v>2542.5</v>
      </c>
      <c r="I47" s="117">
        <f>Taula38910[[#This Row],[Producció]]*'Introducció criteris'!$I$17</f>
        <v>847.5</v>
      </c>
      <c r="J47" s="118">
        <f>Taula2[[#This Row],[CONSUM TOTAL]]-Taula38910[[#This Row],[Autoconsum instantani]]</f>
        <v>2260</v>
      </c>
    </row>
    <row r="48" spans="1:10">
      <c r="A48" s="166">
        <f>'Introducció consums'!A48</f>
        <v>45</v>
      </c>
      <c r="B48" s="195" t="s">
        <v>66</v>
      </c>
      <c r="C48" t="str">
        <f>'Introducció consums'!C48</f>
        <v>Quadre EP 45</v>
      </c>
      <c r="D48" s="117">
        <f>Taula2[[#This Row],[CONSUM TOTAL]]*'Introducció criteris'!$E$17</f>
        <v>3420</v>
      </c>
      <c r="E48" s="10">
        <f>Taula38910[[#This Row],[Producció]]/'Introducció criteris'!$E$21</f>
        <v>2.5333333333333332</v>
      </c>
      <c r="F48" s="35">
        <f>+Taula38910[[#This Row],[Potència pic]]/'Introducció criteris'!$E$23</f>
        <v>12.666666666666666</v>
      </c>
      <c r="G48" s="117">
        <f>IF(Taula38910[[#This Row],[Tipus subministrament]]="Quadre EP",0,Taula38910[[#This Row],[Producció]]*'Introducció criteris'!$G$17)</f>
        <v>0</v>
      </c>
      <c r="H48" s="117">
        <f>Taula38910[[#This Row],[Producció]]-Taula38910[[#This Row],[Autoconsum instantani]]-Taula38910[[#This Row],[Abocament a xarxa sense compensar]]</f>
        <v>2565</v>
      </c>
      <c r="I48" s="117">
        <f>Taula38910[[#This Row],[Producció]]*'Introducció criteris'!$I$17</f>
        <v>855</v>
      </c>
      <c r="J48" s="118">
        <f>Taula2[[#This Row],[CONSUM TOTAL]]-Taula38910[[#This Row],[Autoconsum instantani]]</f>
        <v>2280</v>
      </c>
    </row>
    <row r="49" spans="1:10">
      <c r="A49" s="166">
        <f>'Introducció consums'!A49</f>
        <v>46</v>
      </c>
      <c r="B49" s="195" t="s">
        <v>66</v>
      </c>
      <c r="C49" t="str">
        <f>'Introducció consums'!C49</f>
        <v>Quadre EP 46</v>
      </c>
      <c r="D49" s="117">
        <f>Taula2[[#This Row],[CONSUM TOTAL]]*'Introducció criteris'!$E$17</f>
        <v>3450</v>
      </c>
      <c r="E49" s="10">
        <f>Taula38910[[#This Row],[Producció]]/'Introducció criteris'!$E$21</f>
        <v>2.5555555555555554</v>
      </c>
      <c r="F49" s="35">
        <f>+Taula38910[[#This Row],[Potència pic]]/'Introducció criteris'!$E$23</f>
        <v>12.777777777777777</v>
      </c>
      <c r="G49" s="117">
        <f>IF(Taula38910[[#This Row],[Tipus subministrament]]="Quadre EP",0,Taula38910[[#This Row],[Producció]]*'Introducció criteris'!$G$17)</f>
        <v>0</v>
      </c>
      <c r="H49" s="117">
        <f>Taula38910[[#This Row],[Producció]]-Taula38910[[#This Row],[Autoconsum instantani]]-Taula38910[[#This Row],[Abocament a xarxa sense compensar]]</f>
        <v>2587.5</v>
      </c>
      <c r="I49" s="117">
        <f>Taula38910[[#This Row],[Producció]]*'Introducció criteris'!$I$17</f>
        <v>862.5</v>
      </c>
      <c r="J49" s="118">
        <f>Taula2[[#This Row],[CONSUM TOTAL]]-Taula38910[[#This Row],[Autoconsum instantani]]</f>
        <v>2300</v>
      </c>
    </row>
    <row r="50" spans="1:10">
      <c r="A50" s="166">
        <f>'Introducció consums'!A50</f>
        <v>47</v>
      </c>
      <c r="B50" s="195" t="s">
        <v>66</v>
      </c>
      <c r="C50" t="str">
        <f>'Introducció consums'!C50</f>
        <v>Quadre EP 47</v>
      </c>
      <c r="D50" s="117">
        <f>Taula2[[#This Row],[CONSUM TOTAL]]*'Introducció criteris'!$E$17</f>
        <v>3480</v>
      </c>
      <c r="E50" s="10">
        <f>Taula38910[[#This Row],[Producció]]/'Introducció criteris'!$E$21</f>
        <v>2.5777777777777779</v>
      </c>
      <c r="F50" s="35">
        <f>+Taula38910[[#This Row],[Potència pic]]/'Introducció criteris'!$E$23</f>
        <v>12.888888888888889</v>
      </c>
      <c r="G50" s="117">
        <f>IF(Taula38910[[#This Row],[Tipus subministrament]]="Quadre EP",0,Taula38910[[#This Row],[Producció]]*'Introducció criteris'!$G$17)</f>
        <v>0</v>
      </c>
      <c r="H50" s="117">
        <f>Taula38910[[#This Row],[Producció]]-Taula38910[[#This Row],[Autoconsum instantani]]-Taula38910[[#This Row],[Abocament a xarxa sense compensar]]</f>
        <v>2610</v>
      </c>
      <c r="I50" s="117">
        <f>Taula38910[[#This Row],[Producció]]*'Introducció criteris'!$I$17</f>
        <v>870</v>
      </c>
      <c r="J50" s="118">
        <f>Taula2[[#This Row],[CONSUM TOTAL]]-Taula38910[[#This Row],[Autoconsum instantani]]</f>
        <v>2320</v>
      </c>
    </row>
    <row r="51" spans="1:10">
      <c r="A51" s="166">
        <f>'Introducció consums'!A51</f>
        <v>48</v>
      </c>
      <c r="B51" s="195" t="s">
        <v>66</v>
      </c>
      <c r="C51" t="str">
        <f>'Introducció consums'!C51</f>
        <v>Quadre EP 48</v>
      </c>
      <c r="D51" s="117">
        <f>Taula2[[#This Row],[CONSUM TOTAL]]*'Introducció criteris'!$E$17</f>
        <v>3510</v>
      </c>
      <c r="E51" s="10">
        <f>Taula38910[[#This Row],[Producció]]/'Introducció criteris'!$E$21</f>
        <v>2.6</v>
      </c>
      <c r="F51" s="35">
        <f>+Taula38910[[#This Row],[Potència pic]]/'Introducció criteris'!$E$23</f>
        <v>13</v>
      </c>
      <c r="G51" s="117">
        <f>IF(Taula38910[[#This Row],[Tipus subministrament]]="Quadre EP",0,Taula38910[[#This Row],[Producció]]*'Introducció criteris'!$G$17)</f>
        <v>0</v>
      </c>
      <c r="H51" s="117">
        <f>Taula38910[[#This Row],[Producció]]-Taula38910[[#This Row],[Autoconsum instantani]]-Taula38910[[#This Row],[Abocament a xarxa sense compensar]]</f>
        <v>2632.5</v>
      </c>
      <c r="I51" s="117">
        <f>Taula38910[[#This Row],[Producció]]*'Introducció criteris'!$I$17</f>
        <v>877.5</v>
      </c>
      <c r="J51" s="118">
        <f>Taula2[[#This Row],[CONSUM TOTAL]]-Taula38910[[#This Row],[Autoconsum instantani]]</f>
        <v>2340</v>
      </c>
    </row>
    <row r="52" spans="1:10">
      <c r="A52" s="166">
        <f>'Introducció consums'!A52</f>
        <v>49</v>
      </c>
      <c r="B52" s="195" t="s">
        <v>66</v>
      </c>
      <c r="C52" t="str">
        <f>'Introducció consums'!C52</f>
        <v>Quadre EP 49</v>
      </c>
      <c r="D52" s="104">
        <f>Taula2[[#This Row],[CONSUM TOTAL]]*'Introducció criteris'!$E$17</f>
        <v>3540</v>
      </c>
      <c r="E52" s="119">
        <f>Taula38910[[#This Row],[Producció]]/'Introducció criteris'!$E$21</f>
        <v>2.6222222222222222</v>
      </c>
      <c r="F52" s="120">
        <f>+Taula38910[[#This Row],[Potència pic]]/'Introducció criteris'!$E$23</f>
        <v>13.111111111111111</v>
      </c>
      <c r="G52" s="9">
        <f>IF(Taula38910[[#This Row],[Tipus subministrament]]="Quadre EP",0,Taula38910[[#This Row],[Producció]]*'Introducció criteris'!$G$17)</f>
        <v>0</v>
      </c>
      <c r="H52" s="9">
        <f>Taula38910[[#This Row],[Producció]]-Taula38910[[#This Row],[Autoconsum instantani]]-Taula38910[[#This Row],[Abocament a xarxa sense compensar]]</f>
        <v>2655</v>
      </c>
      <c r="I52" s="9">
        <f>Taula38910[[#This Row],[Producció]]*'Introducció criteris'!$I$17</f>
        <v>885</v>
      </c>
      <c r="J52" s="11">
        <f>Taula2[[#This Row],[CONSUM TOTAL]]-Taula38910[[#This Row],[Autoconsum instantani]]</f>
        <v>2360</v>
      </c>
    </row>
    <row r="53" spans="1:10" ht="15" thickBot="1">
      <c r="A53" s="167">
        <f>'Introducció consums'!A53</f>
        <v>50</v>
      </c>
      <c r="B53" s="192" t="s">
        <v>66</v>
      </c>
      <c r="C53" s="152" t="str">
        <f>'Introducció consums'!C53</f>
        <v>Quadre EP 50</v>
      </c>
      <c r="D53" s="153">
        <f>Taula2[[#This Row],[CONSUM TOTAL]]*'Introducció criteris'!$E$17</f>
        <v>3570</v>
      </c>
      <c r="E53" s="23">
        <f>Taula38910[[#This Row],[Producció]]/'Introducció criteris'!$E$21</f>
        <v>2.6444444444444444</v>
      </c>
      <c r="F53" s="154">
        <f>+Taula38910[[#This Row],[Potència pic]]/'Introducció criteris'!$E$23</f>
        <v>13.222222222222221</v>
      </c>
      <c r="G53" s="153">
        <f>IF(Taula38910[[#This Row],[Tipus subministrament]]="Quadre EP",0,Taula38910[[#This Row],[Producció]]*'Introducció criteris'!$G$17)</f>
        <v>0</v>
      </c>
      <c r="H53" s="153">
        <f>Taula38910[[#This Row],[Producció]]-Taula38910[[#This Row],[Autoconsum instantani]]-Taula38910[[#This Row],[Abocament a xarxa sense compensar]]</f>
        <v>2677.5</v>
      </c>
      <c r="I53" s="153">
        <f>Taula38910[[#This Row],[Producció]]*'Introducció criteris'!$I$17</f>
        <v>892.5</v>
      </c>
      <c r="J53" s="155">
        <f>Taula2[[#This Row],[CONSUM TOTAL]]-Taula38910[[#This Row],[Autoconsum instantani]]</f>
        <v>2380</v>
      </c>
    </row>
    <row r="54" spans="1:10" ht="9" customHeight="1" thickBot="1">
      <c r="D54" s="139"/>
      <c r="E54" s="140"/>
      <c r="F54" s="141"/>
      <c r="G54" s="139"/>
      <c r="H54" s="139"/>
      <c r="I54" s="139"/>
      <c r="J54" s="139"/>
    </row>
    <row r="55" spans="1:10" ht="28.5" customHeight="1" thickBot="1">
      <c r="A55" s="142"/>
      <c r="B55" s="193"/>
      <c r="C55" s="143" t="s">
        <v>158</v>
      </c>
      <c r="D55" s="144">
        <f>SUM(D4:D53)</f>
        <v>167850</v>
      </c>
      <c r="E55" s="145">
        <f t="shared" ref="E55:J55" si="0">SUM(E4:E53)</f>
        <v>124.33333333333334</v>
      </c>
      <c r="F55" s="146">
        <f t="shared" si="0"/>
        <v>621.66666666666663</v>
      </c>
      <c r="G55" s="144">
        <f t="shared" si="0"/>
        <v>21262.5</v>
      </c>
      <c r="H55" s="144">
        <f t="shared" si="0"/>
        <v>104625</v>
      </c>
      <c r="I55" s="144">
        <f t="shared" si="0"/>
        <v>41962.5</v>
      </c>
      <c r="J55" s="147">
        <f t="shared" si="0"/>
        <v>90637.5</v>
      </c>
    </row>
    <row r="56" spans="1:10">
      <c r="D56" s="139"/>
      <c r="E56" s="140"/>
      <c r="F56" s="141"/>
      <c r="G56" s="139"/>
      <c r="H56" s="139"/>
      <c r="I56" s="139"/>
      <c r="J56" s="139"/>
    </row>
    <row r="57" spans="1:10">
      <c r="D57" s="139"/>
      <c r="E57" s="140"/>
      <c r="F57" s="141"/>
      <c r="G57" s="139"/>
      <c r="H57" s="139"/>
      <c r="I57" s="139"/>
      <c r="J57" s="139"/>
    </row>
    <row r="58" spans="1:10">
      <c r="D58" s="139"/>
      <c r="E58" s="140"/>
      <c r="F58" s="141"/>
      <c r="G58" s="139"/>
      <c r="H58" s="139"/>
      <c r="I58" s="139"/>
      <c r="J58" s="139"/>
    </row>
    <row r="59" spans="1:10">
      <c r="D59" s="139"/>
      <c r="E59" s="140"/>
      <c r="F59" s="141"/>
      <c r="G59" s="139"/>
      <c r="H59" s="139"/>
      <c r="I59" s="139"/>
      <c r="J59" s="139"/>
    </row>
    <row r="60" spans="1:10">
      <c r="D60" s="139"/>
      <c r="E60" s="140"/>
      <c r="F60" s="141"/>
      <c r="G60" s="139"/>
      <c r="H60" s="139"/>
      <c r="I60" s="139"/>
      <c r="J60" s="139"/>
    </row>
    <row r="61" spans="1:10">
      <c r="D61" s="139"/>
      <c r="E61" s="140"/>
      <c r="F61" s="141"/>
      <c r="G61" s="139"/>
      <c r="H61" s="139"/>
      <c r="I61" s="139"/>
      <c r="J61" s="139"/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3F46A-828F-4C86-A707-8F48824E3CE7}">
  <sheetPr>
    <tabColor theme="8"/>
  </sheetPr>
  <dimension ref="A1:AC38"/>
  <sheetViews>
    <sheetView topLeftCell="A28" zoomScale="85" zoomScaleNormal="85" workbookViewId="0">
      <selection activeCell="K14" sqref="K14"/>
    </sheetView>
  </sheetViews>
  <sheetFormatPr defaultColWidth="8.7109375" defaultRowHeight="14.45"/>
  <cols>
    <col min="1" max="1" width="0.85546875" style="37" customWidth="1"/>
    <col min="2" max="2" width="18.5703125" style="37" customWidth="1"/>
    <col min="3" max="3" width="42.140625" style="37" customWidth="1"/>
    <col min="4" max="4" width="27.85546875" style="37" customWidth="1"/>
    <col min="5" max="5" width="24.7109375" style="37" customWidth="1"/>
    <col min="6" max="6" width="34.5703125" style="37" customWidth="1"/>
    <col min="7" max="7" width="23.140625" style="37" customWidth="1"/>
    <col min="8" max="8" width="0.85546875" style="37" customWidth="1"/>
    <col min="9" max="16384" width="8.7109375" style="37"/>
  </cols>
  <sheetData>
    <row r="1" spans="1:29" ht="25.9">
      <c r="A1" s="111" t="s">
        <v>149</v>
      </c>
      <c r="B1" s="111"/>
      <c r="C1" s="111"/>
      <c r="D1" s="112"/>
      <c r="E1" s="113"/>
      <c r="F1" s="113"/>
      <c r="G1" s="113"/>
      <c r="H1" s="113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14"/>
      <c r="W1" s="114"/>
      <c r="X1" s="114"/>
      <c r="Y1" s="114"/>
      <c r="Z1" s="114"/>
      <c r="AA1" s="114"/>
      <c r="AB1" s="114"/>
      <c r="AC1" s="114"/>
    </row>
    <row r="2" spans="1:29" ht="23.45">
      <c r="A2" s="115" t="s">
        <v>159</v>
      </c>
      <c r="B2" s="115"/>
      <c r="C2" s="115"/>
      <c r="D2" s="115"/>
      <c r="E2" s="115"/>
      <c r="F2" s="115"/>
      <c r="G2" s="116"/>
      <c r="H2" s="116"/>
      <c r="I2" s="182"/>
      <c r="J2" s="182"/>
      <c r="K2" s="181"/>
      <c r="L2" s="181"/>
      <c r="M2" s="181"/>
      <c r="N2" s="181"/>
      <c r="O2" s="183"/>
      <c r="P2" s="183"/>
      <c r="Q2" s="181"/>
      <c r="R2" s="181"/>
      <c r="S2" s="181"/>
      <c r="T2" s="181"/>
      <c r="U2" s="181"/>
      <c r="V2" s="114"/>
      <c r="W2" s="114"/>
      <c r="X2" s="114"/>
      <c r="Y2" s="114"/>
      <c r="Z2" s="114"/>
      <c r="AA2" s="114"/>
      <c r="AB2" s="114"/>
      <c r="AC2" s="114"/>
    </row>
    <row r="3" spans="1:29" ht="6.4" customHeight="1" thickBot="1">
      <c r="A3" s="186"/>
      <c r="B3" s="186"/>
      <c r="C3" s="186"/>
      <c r="D3" s="186"/>
      <c r="E3" s="186"/>
      <c r="F3" s="186"/>
      <c r="G3" s="187"/>
      <c r="H3" s="187"/>
      <c r="I3" s="182"/>
      <c r="J3" s="182"/>
      <c r="K3" s="181"/>
      <c r="L3" s="181"/>
      <c r="M3" s="181"/>
      <c r="N3" s="181"/>
      <c r="O3" s="183"/>
      <c r="P3" s="183"/>
      <c r="Q3" s="181"/>
      <c r="R3" s="181"/>
      <c r="S3" s="181"/>
      <c r="T3" s="181"/>
      <c r="U3" s="181"/>
      <c r="V3" s="114"/>
      <c r="W3" s="114"/>
      <c r="X3" s="114"/>
      <c r="Y3" s="114"/>
      <c r="Z3" s="114"/>
      <c r="AA3" s="114"/>
      <c r="AB3" s="114"/>
      <c r="AC3" s="114"/>
    </row>
    <row r="4" spans="1:29" ht="39.4" customHeight="1" thickBot="1">
      <c r="A4" s="187"/>
      <c r="C4" s="189"/>
      <c r="D4" s="222" t="s">
        <v>160</v>
      </c>
      <c r="E4" s="223" t="s">
        <v>161</v>
      </c>
      <c r="F4" s="223" t="s">
        <v>162</v>
      </c>
      <c r="G4" s="224" t="s">
        <v>163</v>
      </c>
      <c r="H4" s="187"/>
    </row>
    <row r="5" spans="1:29" ht="32.450000000000003" customHeight="1">
      <c r="A5" s="187"/>
      <c r="B5" s="278" t="s">
        <v>164</v>
      </c>
      <c r="C5" s="208" t="s">
        <v>165</v>
      </c>
      <c r="D5" s="225">
        <f>+'Introducció consums'!$P$54</f>
        <v>111900</v>
      </c>
      <c r="E5" s="209">
        <f>+'Introducció consums'!$P$54</f>
        <v>111900</v>
      </c>
      <c r="F5" s="209">
        <f>+'Introducció consums'!$P$54</f>
        <v>111900</v>
      </c>
      <c r="G5" s="210">
        <f>+'Introducció consums'!$P$54</f>
        <v>111900</v>
      </c>
      <c r="H5" s="187"/>
    </row>
    <row r="6" spans="1:29" ht="26.45" customHeight="1">
      <c r="A6" s="187"/>
      <c r="B6" s="279"/>
      <c r="C6" s="172" t="s">
        <v>166</v>
      </c>
      <c r="D6" s="226">
        <f>'Resultats - Escenari 1'!D55</f>
        <v>22380</v>
      </c>
      <c r="E6" s="171">
        <f>'Resultats - Escenari 2'!D55</f>
        <v>55950</v>
      </c>
      <c r="F6" s="171">
        <f>'Resultats - Escenari 3'!D55</f>
        <v>111900</v>
      </c>
      <c r="G6" s="211">
        <f>'Resultats - Escenari 4'!D55</f>
        <v>167850</v>
      </c>
      <c r="H6" s="187"/>
    </row>
    <row r="7" spans="1:29" ht="24.4" customHeight="1">
      <c r="A7" s="187"/>
      <c r="B7" s="279"/>
      <c r="C7" s="188" t="s">
        <v>167</v>
      </c>
      <c r="D7" s="227">
        <f>'Resultats - Escenari 1'!E55</f>
        <v>16.577777777777776</v>
      </c>
      <c r="E7" s="173">
        <f>'Resultats - Escenari 2'!E55</f>
        <v>41.444444444444443</v>
      </c>
      <c r="F7" s="173">
        <f>'Resultats - Escenari 3'!E55</f>
        <v>82.888888888888886</v>
      </c>
      <c r="G7" s="212">
        <f>'Resultats - Escenari 4'!E55</f>
        <v>124.33333333333334</v>
      </c>
      <c r="H7" s="187"/>
      <c r="I7" s="184"/>
      <c r="J7" s="184"/>
      <c r="K7" s="184"/>
      <c r="L7" s="184"/>
    </row>
    <row r="8" spans="1:29" ht="25.9" customHeight="1">
      <c r="A8" s="187"/>
      <c r="B8" s="279"/>
      <c r="C8" s="172" t="s">
        <v>168</v>
      </c>
      <c r="D8" s="228">
        <f>'Resultats - Escenari 1'!F55</f>
        <v>82.888888888888886</v>
      </c>
      <c r="E8" s="174">
        <f>'Resultats - Escenari 2'!F55</f>
        <v>207.22222222222226</v>
      </c>
      <c r="F8" s="174">
        <f>'Resultats - Escenari 3'!F55</f>
        <v>414.44444444444451</v>
      </c>
      <c r="G8" s="213">
        <f>'Resultats - Escenari 4'!F55</f>
        <v>621.66666666666663</v>
      </c>
      <c r="H8" s="187"/>
    </row>
    <row r="9" spans="1:29" ht="22.9" customHeight="1">
      <c r="A9" s="187"/>
      <c r="B9" s="280" t="s">
        <v>169</v>
      </c>
      <c r="C9" s="188" t="s">
        <v>154</v>
      </c>
      <c r="D9" s="229">
        <f>'Resultats - Escenari 1'!G55</f>
        <v>6480</v>
      </c>
      <c r="E9" s="175">
        <f>'Resultats - Escenari 2'!G55</f>
        <v>14175</v>
      </c>
      <c r="F9" s="175">
        <f>'Resultats - Escenari 3'!G55</f>
        <v>20250</v>
      </c>
      <c r="G9" s="214">
        <f>'Resultats - Escenari 4'!G55</f>
        <v>21262.5</v>
      </c>
      <c r="H9" s="187"/>
    </row>
    <row r="10" spans="1:29" ht="23.65" customHeight="1">
      <c r="A10" s="187"/>
      <c r="B10" s="280"/>
      <c r="C10" s="172" t="s">
        <v>170</v>
      </c>
      <c r="D10" s="230">
        <f>'Resultats - Escenari 1'!H55</f>
        <v>15900</v>
      </c>
      <c r="E10" s="176">
        <f>'Resultats - Escenari 2'!H55</f>
        <v>41775</v>
      </c>
      <c r="F10" s="176">
        <f>'Resultats - Escenari 3'!H55</f>
        <v>86055</v>
      </c>
      <c r="G10" s="215">
        <f>'Resultats - Escenari 4'!H55</f>
        <v>104625</v>
      </c>
      <c r="H10" s="187"/>
    </row>
    <row r="11" spans="1:29" ht="28.15" customHeight="1">
      <c r="A11" s="187"/>
      <c r="B11" s="280"/>
      <c r="C11" s="188" t="s">
        <v>171</v>
      </c>
      <c r="D11" s="230">
        <f>'Resultats - Escenari 1'!I55</f>
        <v>0</v>
      </c>
      <c r="E11" s="176">
        <f>'Resultats - Escenari 2'!I55</f>
        <v>0</v>
      </c>
      <c r="F11" s="176">
        <f>'Resultats - Escenari 3'!I55</f>
        <v>5595</v>
      </c>
      <c r="G11" s="215">
        <f>'Resultats - Escenari 4'!I55</f>
        <v>41962.5</v>
      </c>
      <c r="H11" s="187"/>
    </row>
    <row r="12" spans="1:29" ht="22.15" customHeight="1">
      <c r="A12" s="187"/>
      <c r="B12" s="280"/>
      <c r="C12" s="172" t="s">
        <v>172</v>
      </c>
      <c r="D12" s="230">
        <f>'Resultats - Escenari 1'!J55</f>
        <v>105420</v>
      </c>
      <c r="E12" s="176">
        <f>'Resultats - Escenari 2'!J55</f>
        <v>97725</v>
      </c>
      <c r="F12" s="176">
        <f>'Resultats - Escenari 3'!J55</f>
        <v>91650</v>
      </c>
      <c r="G12" s="215">
        <f>'Resultats - Escenari 4'!J55</f>
        <v>90637.5</v>
      </c>
      <c r="H12" s="187"/>
    </row>
    <row r="13" spans="1:29" ht="25.15" customHeight="1">
      <c r="A13" s="187"/>
      <c r="B13" s="279" t="s">
        <v>173</v>
      </c>
      <c r="C13" s="188" t="s">
        <v>174</v>
      </c>
      <c r="D13" s="231">
        <f>IF(D7&lt;100,D7*'Introducció criteris'!$E$31,IF(D7&lt;1000,D7*'Introducció criteris'!$G$31,IF(D7&gt;1000,'Resum de resultats'!D7*'Introducció criteris'!$I$31)))</f>
        <v>19893.333333333332</v>
      </c>
      <c r="E13" s="177">
        <f>IF(E7&lt;100,E7*'Introducció criteris'!$E$31,IF(E7&lt;1000,E7*'Introducció criteris'!$G$31,IF(E7&gt;1000,'Resum de resultats'!E7*'Introducció criteris'!$I$31)))</f>
        <v>49733.333333333328</v>
      </c>
      <c r="F13" s="177">
        <f>IF(F7&lt;100,F7*'Introducció criteris'!$E$31,IF(F7&lt;1000,F7*'Introducció criteris'!$G$31,IF(F7&gt;1000,'Resum de resultats'!F7*'Introducció criteris'!$I$31)))</f>
        <v>99466.666666666657</v>
      </c>
      <c r="G13" s="216">
        <f>IF(G7&lt;100,G7*'Introducció criteris'!$E$31,IF(G7&lt;1000,G7*'Introducció criteris'!$G$31,IF(G7&gt;1000,'Resum de resultats'!G7*'Introducció criteris'!$I$31)))</f>
        <v>124333.33333333334</v>
      </c>
      <c r="H13" s="187"/>
      <c r="J13" s="184"/>
      <c r="K13" s="184"/>
      <c r="L13" s="184"/>
      <c r="M13" s="184"/>
    </row>
    <row r="14" spans="1:29" ht="23.45" customHeight="1">
      <c r="A14" s="187"/>
      <c r="B14" s="279"/>
      <c r="C14" s="172" t="s">
        <v>175</v>
      </c>
      <c r="D14" s="231">
        <f>'Introducció criteris'!$E$25*'Introducció consums'!$P$54</f>
        <v>16785</v>
      </c>
      <c r="E14" s="177">
        <f>'Introducció criteris'!$E$25*'Introducció consums'!$P$54</f>
        <v>16785</v>
      </c>
      <c r="F14" s="177">
        <f>'Introducció criteris'!$E$25*'Introducció consums'!$P$54</f>
        <v>16785</v>
      </c>
      <c r="G14" s="216">
        <f>'Introducció criteris'!$E$25*'Introducció consums'!$P$54</f>
        <v>16785</v>
      </c>
      <c r="H14" s="187"/>
    </row>
    <row r="15" spans="1:29" ht="22.9" customHeight="1">
      <c r="A15" s="187"/>
      <c r="B15" s="279"/>
      <c r="C15" s="188" t="s">
        <v>176</v>
      </c>
      <c r="D15" s="231">
        <f>(D9*'Introducció criteris'!$E$25+D10*'Introducció criteris'!$E$27)</f>
        <v>1926</v>
      </c>
      <c r="E15" s="177">
        <f>(E9*'Introducció criteris'!$E$25+E10*'Introducció criteris'!$E$27)</f>
        <v>4632.75</v>
      </c>
      <c r="F15" s="177">
        <f>(F9*'Introducció criteris'!$E$25+F10*'Introducció criteris'!$E$27)</f>
        <v>8200.7999999999993</v>
      </c>
      <c r="G15" s="216">
        <f>(G9*'Introducció criteris'!$E$25+G10*'Introducció criteris'!$E$27)</f>
        <v>9466.875</v>
      </c>
      <c r="H15" s="187"/>
      <c r="L15" s="185"/>
    </row>
    <row r="16" spans="1:29" ht="22.15" customHeight="1">
      <c r="A16" s="187"/>
      <c r="B16" s="279"/>
      <c r="C16" s="172" t="s">
        <v>177</v>
      </c>
      <c r="D16" s="231">
        <f>+D14-D15</f>
        <v>14859</v>
      </c>
      <c r="E16" s="177">
        <f t="shared" ref="E16:G16" si="0">+E14-E15</f>
        <v>12152.25</v>
      </c>
      <c r="F16" s="177">
        <f t="shared" si="0"/>
        <v>8584.2000000000007</v>
      </c>
      <c r="G16" s="216">
        <f t="shared" si="0"/>
        <v>7318.125</v>
      </c>
      <c r="H16" s="187"/>
      <c r="L16" s="185"/>
    </row>
    <row r="17" spans="1:8" ht="23.45">
      <c r="A17" s="187"/>
      <c r="B17" s="279"/>
      <c r="C17" s="188" t="s">
        <v>178</v>
      </c>
      <c r="D17" s="232">
        <f>D13/D15</f>
        <v>10.328833506403599</v>
      </c>
      <c r="E17" s="178">
        <f t="shared" ref="E17:G17" si="1">E13/E15</f>
        <v>10.735164499127587</v>
      </c>
      <c r="F17" s="178">
        <f t="shared" si="1"/>
        <v>12.128897993691671</v>
      </c>
      <c r="G17" s="217">
        <f t="shared" si="1"/>
        <v>13.133513787108559</v>
      </c>
      <c r="H17" s="187"/>
    </row>
    <row r="18" spans="1:8" ht="23.45" customHeight="1">
      <c r="A18" s="187"/>
      <c r="B18" s="280" t="s">
        <v>179</v>
      </c>
      <c r="C18" s="172" t="s">
        <v>180</v>
      </c>
      <c r="D18" s="233">
        <f>D5*481/1000</f>
        <v>53823.9</v>
      </c>
      <c r="E18" s="179">
        <f t="shared" ref="E18:G18" si="2">E5*481/1000</f>
        <v>53823.9</v>
      </c>
      <c r="F18" s="179">
        <f t="shared" si="2"/>
        <v>53823.9</v>
      </c>
      <c r="G18" s="218">
        <f t="shared" si="2"/>
        <v>53823.9</v>
      </c>
      <c r="H18" s="187"/>
    </row>
    <row r="19" spans="1:8" ht="25.9" customHeight="1" thickBot="1">
      <c r="A19" s="187"/>
      <c r="B19" s="281"/>
      <c r="C19" s="219" t="s">
        <v>181</v>
      </c>
      <c r="D19" s="234">
        <f>-D6*481/1000</f>
        <v>-10764.78</v>
      </c>
      <c r="E19" s="220">
        <f t="shared" ref="E19:G19" si="3">-E6*481/1000</f>
        <v>-26911.95</v>
      </c>
      <c r="F19" s="220">
        <f t="shared" si="3"/>
        <v>-53823.9</v>
      </c>
      <c r="G19" s="221">
        <f t="shared" si="3"/>
        <v>-80735.850000000006</v>
      </c>
      <c r="H19" s="187"/>
    </row>
    <row r="20" spans="1:8" ht="6.4" customHeight="1">
      <c r="A20" s="187"/>
      <c r="B20" s="187"/>
      <c r="C20" s="187"/>
      <c r="D20" s="187"/>
      <c r="E20" s="187"/>
      <c r="F20" s="187"/>
      <c r="G20" s="187"/>
      <c r="H20" s="187"/>
    </row>
    <row r="21" spans="1:8" ht="23.45">
      <c r="A21" s="187"/>
      <c r="B21" s="135"/>
      <c r="C21" s="135"/>
      <c r="D21" s="135"/>
      <c r="E21" s="135"/>
      <c r="F21" s="135"/>
      <c r="G21" s="135"/>
      <c r="H21" s="187"/>
    </row>
    <row r="22" spans="1:8" ht="23.45">
      <c r="A22" s="187"/>
      <c r="B22" s="135"/>
      <c r="C22" s="135"/>
      <c r="D22" s="135"/>
      <c r="E22" s="135"/>
      <c r="F22" s="135"/>
      <c r="G22" s="135"/>
      <c r="H22" s="187"/>
    </row>
    <row r="23" spans="1:8" ht="23.45">
      <c r="A23" s="187"/>
      <c r="B23" s="135"/>
      <c r="C23" s="135"/>
      <c r="D23" s="135"/>
      <c r="E23" s="135"/>
      <c r="F23" s="135"/>
      <c r="G23" s="135"/>
      <c r="H23" s="187"/>
    </row>
    <row r="24" spans="1:8" ht="23.45">
      <c r="A24" s="187"/>
      <c r="B24" s="135"/>
      <c r="C24" s="135"/>
      <c r="D24" s="135"/>
      <c r="E24" s="135"/>
      <c r="F24" s="135"/>
      <c r="G24" s="135"/>
      <c r="H24" s="187"/>
    </row>
    <row r="25" spans="1:8" ht="23.45">
      <c r="A25" s="187"/>
      <c r="B25" s="135"/>
      <c r="C25" s="135"/>
      <c r="D25" s="135"/>
      <c r="E25" s="135"/>
      <c r="F25" s="135"/>
      <c r="G25" s="135"/>
      <c r="H25" s="187"/>
    </row>
    <row r="26" spans="1:8" ht="23.45">
      <c r="A26" s="187"/>
      <c r="B26" s="135"/>
      <c r="C26" s="135"/>
      <c r="D26" s="135"/>
      <c r="E26" s="135"/>
      <c r="F26" s="135"/>
      <c r="G26" s="135"/>
      <c r="H26" s="187"/>
    </row>
    <row r="27" spans="1:8" ht="23.45">
      <c r="A27" s="187"/>
      <c r="B27" s="135"/>
      <c r="C27" s="135"/>
      <c r="D27" s="135"/>
      <c r="E27" s="135"/>
      <c r="F27" s="135"/>
      <c r="G27" s="135"/>
      <c r="H27" s="187"/>
    </row>
    <row r="28" spans="1:8" ht="23.45">
      <c r="A28" s="187"/>
      <c r="B28" s="135"/>
      <c r="C28" s="135"/>
      <c r="D28" s="135"/>
      <c r="E28" s="135"/>
      <c r="F28" s="135"/>
      <c r="G28" s="135"/>
      <c r="H28" s="187"/>
    </row>
    <row r="29" spans="1:8" ht="23.45">
      <c r="A29" s="187"/>
      <c r="B29" s="135"/>
      <c r="C29" s="135"/>
      <c r="D29" s="135"/>
      <c r="E29" s="135"/>
      <c r="F29" s="135"/>
      <c r="G29" s="135"/>
      <c r="H29" s="187"/>
    </row>
    <row r="30" spans="1:8" ht="23.45">
      <c r="A30" s="187"/>
      <c r="B30" s="135"/>
      <c r="C30" s="135"/>
      <c r="D30" s="135"/>
      <c r="E30" s="135"/>
      <c r="F30" s="135"/>
      <c r="G30" s="135"/>
      <c r="H30" s="187"/>
    </row>
    <row r="31" spans="1:8" ht="23.45">
      <c r="A31" s="187"/>
      <c r="B31" s="135"/>
      <c r="C31" s="135"/>
      <c r="D31" s="135"/>
      <c r="E31" s="135"/>
      <c r="F31" s="135"/>
      <c r="G31" s="135"/>
      <c r="H31" s="187"/>
    </row>
    <row r="32" spans="1:8" ht="23.45">
      <c r="A32" s="187"/>
      <c r="B32" s="135"/>
      <c r="C32" s="135"/>
      <c r="D32" s="135"/>
      <c r="E32" s="135"/>
      <c r="F32" s="135"/>
      <c r="G32" s="135"/>
      <c r="H32" s="187"/>
    </row>
    <row r="33" spans="1:8" ht="23.45">
      <c r="A33" s="187"/>
      <c r="B33" s="135"/>
      <c r="C33" s="135"/>
      <c r="D33" s="135"/>
      <c r="E33" s="135"/>
      <c r="F33" s="135"/>
      <c r="G33" s="135"/>
      <c r="H33" s="187"/>
    </row>
    <row r="34" spans="1:8" ht="23.45">
      <c r="A34" s="187"/>
      <c r="B34" s="135"/>
      <c r="C34" s="135"/>
      <c r="D34" s="135"/>
      <c r="E34" s="135"/>
      <c r="F34" s="135"/>
      <c r="G34" s="135"/>
      <c r="H34" s="187"/>
    </row>
    <row r="35" spans="1:8" ht="23.45">
      <c r="A35" s="187"/>
      <c r="B35" s="135"/>
      <c r="C35" s="135"/>
      <c r="D35" s="135"/>
      <c r="E35" s="135"/>
      <c r="F35" s="135"/>
      <c r="G35" s="135"/>
      <c r="H35" s="187"/>
    </row>
    <row r="36" spans="1:8" ht="23.45">
      <c r="A36" s="187"/>
      <c r="B36" s="135"/>
      <c r="C36" s="135"/>
      <c r="D36" s="135"/>
      <c r="E36" s="135"/>
      <c r="F36" s="135"/>
      <c r="G36" s="135"/>
      <c r="H36" s="187"/>
    </row>
    <row r="37" spans="1:8" ht="295.5" customHeight="1">
      <c r="A37" s="187"/>
      <c r="B37" s="135"/>
      <c r="C37" s="135"/>
      <c r="D37" s="135"/>
      <c r="E37" s="135"/>
      <c r="F37" s="135"/>
      <c r="G37" s="135"/>
      <c r="H37" s="187"/>
    </row>
    <row r="38" spans="1:8" ht="4.5" customHeight="1">
      <c r="A38" s="187"/>
      <c r="B38" s="187"/>
      <c r="C38" s="187"/>
      <c r="D38" s="187"/>
      <c r="E38" s="187"/>
      <c r="F38" s="187"/>
      <c r="G38" s="187"/>
      <c r="H38" s="187"/>
    </row>
  </sheetData>
  <mergeCells count="4">
    <mergeCell ref="B5:B8"/>
    <mergeCell ref="B9:B12"/>
    <mergeCell ref="B13:B17"/>
    <mergeCell ref="B18:B19"/>
  </mergeCells>
  <phoneticPr fontId="1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F1631-199F-48CC-97EE-9C8BEA4F5820}">
  <sheetPr>
    <tabColor theme="0" tint="-4.9989318521683403E-2"/>
  </sheetPr>
  <dimension ref="B1:B5"/>
  <sheetViews>
    <sheetView workbookViewId="0">
      <selection activeCell="B6" sqref="B6"/>
    </sheetView>
  </sheetViews>
  <sheetFormatPr defaultRowHeight="14.45"/>
  <cols>
    <col min="1" max="1" width="2.5703125" customWidth="1"/>
    <col min="2" max="2" width="27.28515625" customWidth="1"/>
  </cols>
  <sheetData>
    <row r="1" spans="2:2" ht="9" customHeight="1"/>
    <row r="2" spans="2:2">
      <c r="B2" t="s">
        <v>182</v>
      </c>
    </row>
    <row r="4" spans="2:2">
      <c r="B4" t="s">
        <v>33</v>
      </c>
    </row>
    <row r="5" spans="2:2">
      <c r="B5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4822fc-b4b9-4f22-acb2-eb3bd80a0817" xsi:nil="true"/>
    <lcf76f155ced4ddcb4097134ff3c332f xmlns="9258ea91-e474-421c-9882-8fd427e7104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C2467D1E81B9468EB9CF22B909F0B9" ma:contentTypeVersion="16" ma:contentTypeDescription="Crear nuevo documento." ma:contentTypeScope="" ma:versionID="6aa3ba1ae46ddbc49cd52dd35299a8e3">
  <xsd:schema xmlns:xsd="http://www.w3.org/2001/XMLSchema" xmlns:xs="http://www.w3.org/2001/XMLSchema" xmlns:p="http://schemas.microsoft.com/office/2006/metadata/properties" xmlns:ns2="9258ea91-e474-421c-9882-8fd427e71040" xmlns:ns3="3c4822fc-b4b9-4f22-acb2-eb3bd80a0817" targetNamespace="http://schemas.microsoft.com/office/2006/metadata/properties" ma:root="true" ma:fieldsID="c59ddfd76f7eff9b43f2118da7dbf5ec" ns2:_="" ns3:_="">
    <xsd:import namespace="9258ea91-e474-421c-9882-8fd427e71040"/>
    <xsd:import namespace="3c4822fc-b4b9-4f22-acb2-eb3bd80a08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8ea91-e474-421c-9882-8fd427e71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50028fe1-31b5-4904-8097-8e5e2258eb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822fc-b4b9-4f22-acb2-eb3bd80a081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ae4c086-9d3d-4391-b666-7d30af676e0a}" ma:internalName="TaxCatchAll" ma:showField="CatchAllData" ma:web="3c4822fc-b4b9-4f22-acb2-eb3bd80a08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36A730-FE5A-4C53-AA64-DD8BBBE42748}"/>
</file>

<file path=customXml/itemProps2.xml><?xml version="1.0" encoding="utf-8"?>
<ds:datastoreItem xmlns:ds="http://schemas.openxmlformats.org/officeDocument/2006/customXml" ds:itemID="{4D65B669-0A8A-4961-BDB8-E61421297976}"/>
</file>

<file path=customXml/itemProps3.xml><?xml version="1.0" encoding="utf-8"?>
<ds:datastoreItem xmlns:ds="http://schemas.openxmlformats.org/officeDocument/2006/customXml" ds:itemID="{989BAF5E-48E2-4ED0-95A1-4911FE1B90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/>
  <cp:revision/>
  <dcterms:created xsi:type="dcterms:W3CDTF">2023-02-23T11:26:14Z</dcterms:created>
  <dcterms:modified xsi:type="dcterms:W3CDTF">2026-01-19T10:00:20Z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0x01010082C2467D1E81B9468EB9CF22B909F0B9</vt:lpwstr>
  </property>
  <property fmtid="{D5CDD505-2E9C-101B-9397-08002B2CF9AE}" pid="3" name="MediaServiceImageTags">
    <vt:lpwstr/>
  </property>
</Properties>
</file>